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10.xml" ContentType="application/vnd.openxmlformats-officedocument.spreadsheetml.worksheet+xml"/>
  <Override PartName="/xl/worksheets/sheet5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7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9.xml" ContentType="application/vnd.openxmlformats-officedocument.spreadsheetml.workshee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ver" sheetId="1" state="visible" r:id="rId3"/>
    <sheet name="Inputs" sheetId="2" state="visible" r:id="rId4"/>
    <sheet name="Budget by Component" sheetId="3" state="visible" r:id="rId5"/>
    <sheet name="Capex" sheetId="4" state="visible" r:id="rId6"/>
    <sheet name="Operations" sheetId="5" state="visible" r:id="rId7"/>
    <sheet name="SPV Cash Flow" sheetId="6" state="visible" r:id="rId8"/>
    <sheet name="Returns" sheetId="7" state="visible" r:id="rId9"/>
    <sheet name="Project Returns" sheetId="8" state="visible" r:id="rId10"/>
    <sheet name="Exhibit - Hotel" sheetId="9" state="visible" r:id="rId11"/>
    <sheet name="Exhibit - Centre" sheetId="10" state="visible" r:id="rId12"/>
    <sheet name="Exhibit - Retail" sheetId="11" state="visible" r:id="rId13"/>
    <sheet name="Comp - Hotel" sheetId="12" state="visible" r:id="rId14"/>
    <sheet name="Comp - Centre" sheetId="13" state="visible" r:id="rId15"/>
    <sheet name="Comp - Retail" sheetId="14" state="visible" r:id="rId16"/>
    <sheet name="Retail Tenant Mix" sheetId="15" state="visible" r:id="rId17"/>
    <sheet name="Bank KPIs" sheetId="16" state="visible" r:id="rId18"/>
    <sheet name="Monthly Construction CF" sheetId="17" state="visible" r:id="rId19"/>
    <sheet name="Sensitivity" sheetId="18" state="visible" r:id="rId2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<sst xmlns="http://schemas.openxmlformats.org/spreadsheetml/2006/main" count="1692" uniqueCount="771">
  <si>
    <t xml:space="preserve">MAYADEEN PARK — Al-Madinah Al-Munawwarah</t>
  </si>
  <si>
    <t xml:space="preserve">Business case and financing model — prepared by Koushan Real Estate Development for Watanco Contracting Co. and its financing banks</t>
  </si>
  <si>
    <t xml:space="preserve">Version 1.0 · 21 October 2026 · Confidential</t>
  </si>
  <si>
    <t xml:space="preserve">Sponsors</t>
  </si>
  <si>
    <t xml:space="preserve">Watanco Contracting Co. (64%: funder via interest-free shareholder loan, EPCF contractor &amp; construction manager) · Koushan Real Estate Development (36%: land rights, design, permits, asset manager)</t>
  </si>
  <si>
    <t xml:space="preserve">Asset</t>
  </si>
  <si>
    <t xml:space="preserve">Experience Centre (18,050 sqm) · F&amp;B &amp; retail boulevard (38,597 sqm GLA) · 600-key hotel (300 hotel + 300 serviced apartments) on a 245,337 sqm Al-Maqr leasehold to April 2074, King Fahd Park, Madinah</t>
  </si>
  <si>
    <t xml:space="preserve">Capex</t>
  </si>
  <si>
    <t xml:space="preserve">SAR 550M GMP under the Master EPCF Agreement (13 Jul 2026) + SAR 53M pre-opening funded by the project</t>
  </si>
  <si>
    <t xml:space="preserve">Structure</t>
  </si>
  <si>
    <t xml:space="preserve">Interest-free shareholder loan from Watanco funds 100% of the need; 100% of SPV cash repays it before any distribution; thereafter 64/36</t>
  </si>
  <si>
    <t xml:space="preserve">Sheets</t>
  </si>
  <si>
    <t xml:space="preserve">Inputs → Capex → Operations → SPV Cash Flow → Returns → Bank KPIs → Monthly Construction CF → Sensitivity</t>
  </si>
  <si>
    <t xml:space="preserve">Colour code</t>
  </si>
  <si>
    <t xml:space="preserve">Blue = input · Black = formula · Green = link from another sheet · Yellow fill = key lever / placeholder pending shareholder decision</t>
  </si>
  <si>
    <t xml:space="preserve">Units</t>
  </si>
  <si>
    <t xml:space="preserve">SAR million, nominal, VAT inclusive on capex; annual periods ending 31 December</t>
  </si>
  <si>
    <t xml:space="preserve">Sources</t>
  </si>
  <si>
    <t xml:space="preserve">Watanco Project Cash Flow &amp; Financial Model (Oct 2026); LDP Report 6.0; Savills Tenant Mix (Jul 2024); IHG Staybridge projections (benchmark); ProFun business plan (Jan 2025); Dar Al Qias valuation (Mar 2024); Master EPCF Agreement (13 Jul 2026); shareholders' decisions (Oct 2026)</t>
  </si>
  <si>
    <t xml:space="preserve">Outstanding</t>
  </si>
  <si>
    <t xml:space="preserve">Watanco's facility terms; SHA/amendment for 64/36; audited FS of Watanco; certified land valuation; written Al-Maqr confirmations (grace period, hotel use); hotel operator; independent technical review of GMP</t>
  </si>
  <si>
    <t xml:space="preserve">Mayadeen Park — Inputs &amp; Assumptions</t>
  </si>
  <si>
    <t xml:space="preserve">Blue = hard-coded input (editable). Black = formula. Every input cites its source. SAR million unless stated.</t>
  </si>
  <si>
    <t xml:space="preserve">Scenario levers (1.00 = base case)</t>
  </si>
  <si>
    <t xml:space="preserve">Construction cost multiplier</t>
  </si>
  <si>
    <t xml:space="preserve">x</t>
  </si>
  <si>
    <t xml:space="preserve">Sensitivity lever — base 1.00</t>
  </si>
  <si>
    <t xml:space="preserve">Hotel revenue multiplier</t>
  </si>
  <si>
    <t xml:space="preserve">Sensitivity lever</t>
  </si>
  <si>
    <t xml:space="preserve">Experience Centre revenue multiplier</t>
  </si>
  <si>
    <t xml:space="preserve">Retail revenue multiplier</t>
  </si>
  <si>
    <t xml:space="preserve">Opening delay (whole years, 0 or 1)</t>
  </si>
  <si>
    <t xml:space="preserve">yrs</t>
  </si>
  <si>
    <t xml:space="preserve">Sensitivity lever — shifts all revenue one year later</t>
  </si>
  <si>
    <t xml:space="preserve">Structure &amp; parties</t>
  </si>
  <si>
    <t xml:space="preserve">Watanco Contracting Co. shareholding — funder (interest-free shareholder loan) and EPCF contractor</t>
  </si>
  <si>
    <t xml:space="preserve">%</t>
  </si>
  <si>
    <t xml:space="preserve">Shareholders' decision 22 Oct 2026 (amendment to Master EPCF Agreement 13 Jul 2026, Art. 9.1 — in progress)</t>
  </si>
  <si>
    <t xml:space="preserve">Koushan Real Estate Development shareholding (land, design, permits)</t>
  </si>
  <si>
    <t xml:space="preserve">As above</t>
  </si>
  <si>
    <t xml:space="preserve">Koushan asset-management fee (% of revenue where the flag below is 1)</t>
  </si>
  <si>
    <t xml:space="preserve">Cancelled 22 Oct 2026: asset management is covered within the SPV's AM &amp; G&amp;A overhead (SAR 6.5M) — flags set to 0 to avoid double counting</t>
  </si>
  <si>
    <t xml:space="preserve">AM fee applies to hotel revenue (1 = yes, 0 = no)</t>
  </si>
  <si>
    <t xml:space="preserve">flag</t>
  </si>
  <si>
    <t xml:space="preserve">Shareholders' decision, Oct 2026: waived for hotel</t>
  </si>
  <si>
    <t xml:space="preserve">AM fee applies to Experience Centre revenue</t>
  </si>
  <si>
    <t xml:space="preserve">Shareholders' decision, Oct 2026: waived for the Centre</t>
  </si>
  <si>
    <t xml:space="preserve">AM fee applies to retail revenue</t>
  </si>
  <si>
    <t xml:space="preserve">Shareholders' decision, 22 Oct 2026: fee cancelled (0)</t>
  </si>
  <si>
    <t xml:space="preserve">Fixed land rent &amp; SPV overheads allocated to hotel (1 = yes, 0 = no)</t>
  </si>
  <si>
    <t xml:space="preserve">Shareholders' decision, 22 Oct 2026: not charged to the hotel</t>
  </si>
  <si>
    <t xml:space="preserve">Fixed land rent &amp; SPV overheads allocated to Experience Centre</t>
  </si>
  <si>
    <t xml:space="preserve">Shareholders' decision, 22 Oct 2026: shared with retail in proportion to stabilised revenue</t>
  </si>
  <si>
    <t xml:space="preserve">Fixed land rent &amp; SPV overheads allocated to retail</t>
  </si>
  <si>
    <t xml:space="preserve">Shareholders' decision, 22 Oct 2026: shared with the Centre in proportion to stabilised revenue</t>
  </si>
  <si>
    <t xml:space="preserve">Allocation weight — hotel: stabilised (2032) revenue × flag, SAR M</t>
  </si>
  <si>
    <t xml:space="preserve">SAR M</t>
  </si>
  <si>
    <t xml:space="preserve">Formula: Operations 2032 revenue × flag (values in the component models)</t>
  </si>
  <si>
    <t xml:space="preserve">Allocation weight — Experience Centre: stabilised (2032) revenue × flag, SAR M</t>
  </si>
  <si>
    <t xml:space="preserve">Allocation weight — retail: stabilised (2032) revenue × flag, SAR M</t>
  </si>
  <si>
    <t xml:space="preserve">Minimum operating cash held in SPV</t>
  </si>
  <si>
    <t xml:space="preserve">Watanco business plan assumption</t>
  </si>
  <si>
    <t xml:space="preserve">Capital expenditure — Watanco GMP SAR 550M (VAT inclusive), phased per Watanco Project Cash Flow (Oct 2026)</t>
  </si>
  <si>
    <t xml:space="preserve">Item</t>
  </si>
  <si>
    <t xml:space="preserve">2026</t>
  </si>
  <si>
    <t xml:space="preserve">2027</t>
  </si>
  <si>
    <t xml:space="preserve">2028</t>
  </si>
  <si>
    <t xml:space="preserve">Structural works</t>
  </si>
  <si>
    <t xml:space="preserve">Finishes</t>
  </si>
  <si>
    <t xml:space="preserve">MEP works</t>
  </si>
  <si>
    <t xml:space="preserve">Landscaping, water features &amp; infrastructure</t>
  </si>
  <si>
    <t xml:space="preserve">Hotel FF&amp;E</t>
  </si>
  <si>
    <t xml:space="preserve">Experience Centre content &amp; AV systems</t>
  </si>
  <si>
    <t xml:space="preserve">Contingency reserve</t>
  </si>
  <si>
    <t xml:space="preserve">Project management reserve</t>
  </si>
  <si>
    <t xml:space="preserve">Design</t>
  </si>
  <si>
    <t xml:space="preserve">Supervision</t>
  </si>
  <si>
    <t xml:space="preserve">Fees &amp; permits</t>
  </si>
  <si>
    <t xml:space="preserve">Marketing &amp; pre-opening (within GMP)</t>
  </si>
  <si>
    <t xml:space="preserve">Rent &amp; administration during construction</t>
  </si>
  <si>
    <t xml:space="preserve">Total GMP (check = 550.0)</t>
  </si>
  <si>
    <t xml:space="preserve">Source: Watanco '15_Project_Cash_Flow_EN', §4 Uses by item and year</t>
  </si>
  <si>
    <t xml:space="preserve">VAT embedded in the SAR 550M (memo — recovery not in returns)</t>
  </si>
  <si>
    <t xml:space="preserve">Watanco Project Cash Flow §7 (conservative: excluded from IRR)</t>
  </si>
  <si>
    <t xml:space="preserve">Pre-opening — ON TOP of the SAR 550M GMP (shareholders' decision, Oct 2026)</t>
  </si>
  <si>
    <t xml:space="preserve">Experience Centre pre-opening per ProFun business plan</t>
  </si>
  <si>
    <t xml:space="preserve">ProFun business plan for Midwam, 18 Jan 2025</t>
  </si>
  <si>
    <t xml:space="preserve">Share funded by project (balance from operating income)</t>
  </si>
  <si>
    <t xml:space="preserve">Shareholders' decision, Oct 2026</t>
  </si>
  <si>
    <t xml:space="preserve">Phasing — 2027</t>
  </si>
  <si>
    <t xml:space="preserve">ProFun: 86% in last 12 months before opening</t>
  </si>
  <si>
    <t xml:space="preserve">Retail landlord fit-out contributions per Savills</t>
  </si>
  <si>
    <t xml:space="preserve">Savills Tenant Mix (24 Jul 2024) p.104–105: key units 32.68 + food court 6.98</t>
  </si>
  <si>
    <t xml:space="preserve">Phasing — 2028 (balance 2029 with leasing)</t>
  </si>
  <si>
    <t xml:space="preserve">Leasing ramp 50% / 70% / 92% (Savills)</t>
  </si>
  <si>
    <t xml:space="preserve">Hotel pre-opening — minimum</t>
  </si>
  <si>
    <t xml:space="preserve">Watanco feasibility study: SAR 25,000/key × 600 keys</t>
  </si>
  <si>
    <t xml:space="preserve">Phasing — 2028 (balance 2029)</t>
  </si>
  <si>
    <t xml:space="preserve">Watanco model: 5.0 in 2028, 10.0 in 2029</t>
  </si>
  <si>
    <t xml:space="preserve">Programme</t>
  </si>
  <si>
    <t xml:space="preserve">Experience Centre &amp; boulevard opening year</t>
  </si>
  <si>
    <t xml:space="preserve">year</t>
  </si>
  <si>
    <t xml:space="preserve">Watanco: grand opening Q4 2028</t>
  </si>
  <si>
    <t xml:space="preserve">Fraction of first year traded — Centre &amp; retail</t>
  </si>
  <si>
    <t xml:space="preserve">Q4 opening</t>
  </si>
  <si>
    <t xml:space="preserve">Hotel opening year</t>
  </si>
  <si>
    <t xml:space="preserve">Watanco: mid-2029</t>
  </si>
  <si>
    <t xml:space="preserve">Fraction of first year traded — hotel</t>
  </si>
  <si>
    <t xml:space="preserve">Mid-year opening</t>
  </si>
  <si>
    <t xml:space="preserve">Leasehold expiry (facilities revert to Al-Maqr, nil residual)</t>
  </si>
  <si>
    <t xml:space="preserve">Al-Maqr contract 23/007</t>
  </si>
  <si>
    <t xml:space="preserve">Hotel — 600 keys (base case: IHG Staybridge projections per key; operator/brand to be selected)</t>
  </si>
  <si>
    <t xml:space="preserve">Keys (300 hotel + 300 serviced apartments)</t>
  </si>
  <si>
    <t xml:space="preserve">keys</t>
  </si>
  <si>
    <t xml:space="preserve">Shareholders' data, Oct 2026</t>
  </si>
  <si>
    <t xml:space="preserve">Peak season months</t>
  </si>
  <si>
    <t xml:space="preserve">months</t>
  </si>
  <si>
    <t xml:space="preserve">Watanco model</t>
  </si>
  <si>
    <t xml:space="preserve">ADR — peak (2029 prices)</t>
  </si>
  <si>
    <t xml:space="preserve">SAR</t>
  </si>
  <si>
    <t xml:space="preserve">ADR — off-peak (2029 prices)</t>
  </si>
  <si>
    <t xml:space="preserve">Occupancy — peak</t>
  </si>
  <si>
    <t xml:space="preserve">Occupancy — off-peak</t>
  </si>
  <si>
    <t xml:space="preserve">Rooms revenue as % of total hotel revenue</t>
  </si>
  <si>
    <t xml:space="preserve">IHG Staybridge projections (retained as benchmark)</t>
  </si>
  <si>
    <t xml:space="preserve">Annual ADR growth</t>
  </si>
  <si>
    <t xml:space="preserve">IHG projections</t>
  </si>
  <si>
    <t xml:space="preserve">Ramp — year 1 (% of stabilised)</t>
  </si>
  <si>
    <t xml:space="preserve">IHG: 57%/63% occupancy</t>
  </si>
  <si>
    <t xml:space="preserve">Ramp — year 2</t>
  </si>
  <si>
    <t xml:space="preserve">IHG: 60%/63%</t>
  </si>
  <si>
    <t xml:space="preserve">GOP margin — year 1</t>
  </si>
  <si>
    <t xml:space="preserve">IHG</t>
  </si>
  <si>
    <t xml:space="preserve">GOP margin — year 2</t>
  </si>
  <si>
    <t xml:space="preserve">GOP margin — stabilised</t>
  </si>
  <si>
    <t xml:space="preserve">Operator base fee (% revenue)</t>
  </si>
  <si>
    <t xml:space="preserve">Shareholders' data</t>
  </si>
  <si>
    <t xml:space="preserve">Operator incentive fee (% GOP)</t>
  </si>
  <si>
    <t xml:space="preserve">FF&amp;E reserve (% revenue)</t>
  </si>
  <si>
    <t xml:space="preserve">Experience Centre — LDP Report 6.0 base case; operator Midwam (ProFun business plan)</t>
  </si>
  <si>
    <t xml:space="preserve">Centre full-year revenue — 2028</t>
  </si>
  <si>
    <t xml:space="preserve">LDP Report 6.0 base case (1.19M visitors in 2031)</t>
  </si>
  <si>
    <t xml:space="preserve">Centre full-year revenue — 2029</t>
  </si>
  <si>
    <t xml:space="preserve">Centre full-year revenue — 2030</t>
  </si>
  <si>
    <t xml:space="preserve">Centre full-year revenue — 2031</t>
  </si>
  <si>
    <t xml:space="preserve">Centre full-year revenue — 2032</t>
  </si>
  <si>
    <t xml:space="preserve">Centre full-year revenue — 2033</t>
  </si>
  <si>
    <t xml:space="preserve">Centre full-year revenue — 2034</t>
  </si>
  <si>
    <t xml:space="preserve">Centre full-year revenue — 2035</t>
  </si>
  <si>
    <t xml:space="preserve">Centre full-year revenue — 2036</t>
  </si>
  <si>
    <t xml:space="preserve">Centre full-year revenue — 2037</t>
  </si>
  <si>
    <t xml:space="preserve">Centre full-year revenue — 2038</t>
  </si>
  <si>
    <t xml:space="preserve">Centre full-year revenue — 2039</t>
  </si>
  <si>
    <t xml:space="preserve">Centre full-year revenue — 2040</t>
  </si>
  <si>
    <t xml:space="preserve">Centre revenue growth after 2040</t>
  </si>
  <si>
    <t xml:space="preserve">LDP / ProFun (inflation)</t>
  </si>
  <si>
    <t xml:space="preserve">Centre base case: 1 = LDP (Watanco model) · 2 = ProFun consolidated pro-forma</t>
  </si>
  <si>
    <t xml:space="preserve">case</t>
  </si>
  <si>
    <t xml:space="preserve">Shareholders' decision, Oct 2026: ProFun business plan p.58–59</t>
  </si>
  <si>
    <t xml:space="preserve">ProFun — Centre total revenue (full year, ex-VAT) 2028</t>
  </si>
  <si>
    <t xml:space="preserve">ProFun Pro Forma Business Plan Rev.1 (18 Jan 2025), consolidated projections p.59</t>
  </si>
  <si>
    <t xml:space="preserve">ProFun — Centre total revenue (full year, ex-VAT) 2029</t>
  </si>
  <si>
    <t xml:space="preserve">ProFun — Centre total revenue (full year, ex-VAT) 2030</t>
  </si>
  <si>
    <t xml:space="preserve">ProFun — Centre total revenue (full year, ex-VAT) 2031</t>
  </si>
  <si>
    <t xml:space="preserve">ProFun — Centre total revenue (full year, ex-VAT) 2032</t>
  </si>
  <si>
    <t xml:space="preserve">ProFun — Centre total revenue (full year, ex-VAT) 2033</t>
  </si>
  <si>
    <t xml:space="preserve">ProFun — Centre total revenue (full year, ex-VAT) 2034</t>
  </si>
  <si>
    <t xml:space="preserve">ProFun — Centre total revenue (full year, ex-VAT) 2035</t>
  </si>
  <si>
    <t xml:space="preserve">ProFun — Centre total revenue (full year, ex-VAT) 2036</t>
  </si>
  <si>
    <t xml:space="preserve">ProFun — Centre total revenue (full year, ex-VAT) 2037</t>
  </si>
  <si>
    <t xml:space="preserve">ProFun — Centre total revenue (full year, ex-VAT) 2038</t>
  </si>
  <si>
    <t xml:space="preserve">ProFun — Centre total revenue (full year, ex-VAT) 2039</t>
  </si>
  <si>
    <t xml:space="preserve">ProFun — Centre total revenue (full year, ex-VAT) 2040</t>
  </si>
  <si>
    <t xml:space="preserve">ProFun — Centre EBITDA after management fees 2028</t>
  </si>
  <si>
    <t xml:space="preserve">ProFun p.59: GOP less management fees (Midwam)</t>
  </si>
  <si>
    <t xml:space="preserve">ProFun — Centre EBITDA after management fees 2029</t>
  </si>
  <si>
    <t xml:space="preserve">ProFun — Centre EBITDA after management fees 2030</t>
  </si>
  <si>
    <t xml:space="preserve">ProFun — Centre EBITDA after management fees 2031</t>
  </si>
  <si>
    <t xml:space="preserve">ProFun — Centre EBITDA after management fees 2032</t>
  </si>
  <si>
    <t xml:space="preserve">ProFun — Centre EBITDA after management fees 2033</t>
  </si>
  <si>
    <t xml:space="preserve">ProFun — Centre EBITDA after management fees 2034</t>
  </si>
  <si>
    <t xml:space="preserve">ProFun — Centre EBITDA after management fees 2035</t>
  </si>
  <si>
    <t xml:space="preserve">ProFun — Centre EBITDA after management fees 2036</t>
  </si>
  <si>
    <t xml:space="preserve">ProFun — Centre EBITDA after management fees 2037</t>
  </si>
  <si>
    <t xml:space="preserve">ProFun — Centre EBITDA after management fees 2038</t>
  </si>
  <si>
    <t xml:space="preserve">ProFun — Centre EBITDA after management fees 2039</t>
  </si>
  <si>
    <t xml:space="preserve">ProFun — Centre EBITDA after management fees 2040</t>
  </si>
  <si>
    <t xml:space="preserve">ProFun — admissions revenue per visitor (SAR) 2028</t>
  </si>
  <si>
    <t xml:space="preserve">ProFun p.59: total admission purchases per cap (general, VIP, tour operator)</t>
  </si>
  <si>
    <t xml:space="preserve">ProFun — admissions revenue per visitor (SAR) 2029</t>
  </si>
  <si>
    <t xml:space="preserve">ProFun — admissions revenue per visitor (SAR) 2030</t>
  </si>
  <si>
    <t xml:space="preserve">ProFun — admissions revenue per visitor (SAR) 2031</t>
  </si>
  <si>
    <t xml:space="preserve">ProFun — admissions revenue per visitor (SAR) 2032</t>
  </si>
  <si>
    <t xml:space="preserve">ProFun — admissions revenue per visitor (SAR) 2033</t>
  </si>
  <si>
    <t xml:space="preserve">ProFun — admissions revenue per visitor (SAR) 2034</t>
  </si>
  <si>
    <t xml:space="preserve">ProFun — admissions revenue per visitor (SAR) 2035</t>
  </si>
  <si>
    <t xml:space="preserve">ProFun — admissions revenue per visitor (SAR) 2036</t>
  </si>
  <si>
    <t xml:space="preserve">ProFun — admissions revenue per visitor (SAR) 2037</t>
  </si>
  <si>
    <t xml:space="preserve">ProFun — admissions revenue per visitor (SAR) 2038</t>
  </si>
  <si>
    <t xml:space="preserve">ProFun — admissions revenue per visitor (SAR) 2039</t>
  </si>
  <si>
    <t xml:space="preserve">ProFun — admissions revenue per visitor (SAR) 2040</t>
  </si>
  <si>
    <t xml:space="preserve">ProFun — revenue per visitor (SAR) 2028</t>
  </si>
  <si>
    <t xml:space="preserve">ProFun p.59 per-cap; implies 1.14M visitors in 2028, 1.20M in 2031</t>
  </si>
  <si>
    <t xml:space="preserve">ProFun — revenue per visitor (SAR) 2029</t>
  </si>
  <si>
    <t xml:space="preserve">ProFun — revenue per visitor (SAR) 2030</t>
  </si>
  <si>
    <t xml:space="preserve">ProFun — revenue per visitor (SAR) 2031</t>
  </si>
  <si>
    <t xml:space="preserve">ProFun — revenue per visitor (SAR) 2032</t>
  </si>
  <si>
    <t xml:space="preserve">ProFun — revenue per visitor (SAR) 2033</t>
  </si>
  <si>
    <t xml:space="preserve">ProFun — revenue per visitor (SAR) 2034</t>
  </si>
  <si>
    <t xml:space="preserve">ProFun — revenue per visitor (SAR) 2035</t>
  </si>
  <si>
    <t xml:space="preserve">ProFun — revenue per visitor (SAR) 2036</t>
  </si>
  <si>
    <t xml:space="preserve">ProFun — revenue per visitor (SAR) 2037</t>
  </si>
  <si>
    <t xml:space="preserve">ProFun — revenue per visitor (SAR) 2038</t>
  </si>
  <si>
    <t xml:space="preserve">ProFun — revenue per visitor (SAR) 2039</t>
  </si>
  <si>
    <t xml:space="preserve">ProFun — revenue per visitor (SAR) 2040</t>
  </si>
  <si>
    <t xml:space="preserve">Centre EBITDA margin (before operator fees)</t>
  </si>
  <si>
    <t xml:space="preserve">LDP</t>
  </si>
  <si>
    <t xml:space="preserve">Midwam base fee (% revenue)</t>
  </si>
  <si>
    <t xml:space="preserve">Midwam incentive fee (% EBITDA)</t>
  </si>
  <si>
    <t xml:space="preserve">Content refresh (2028 prices, inflated)</t>
  </si>
  <si>
    <t xml:space="preserve">Shareholders' data: SAR 10M every 5 years</t>
  </si>
  <si>
    <t xml:space="preserve">Retail &amp; F&amp;B boulevard — Savills Tenant Mix &amp; Pro-forma (24 Jul 2024), scaled to the Phase 1 GLA</t>
  </si>
  <si>
    <t xml:space="preserve">Savills recommended GLA incl. mezzanine option (basis of the Savills pro-forma)</t>
  </si>
  <si>
    <t xml:space="preserve">sqm</t>
  </si>
  <si>
    <t xml:space="preserve">Savills p.5–7: 48,467 sqm units, outdoor, terraces &amp; storage + 5,300 sqm mezzanine</t>
  </si>
  <si>
    <t xml:space="preserve">Phase 1 GLA (Watanco Oct-2026 package)</t>
  </si>
  <si>
    <t xml:space="preserve">Watanco; expansion to Savills' recommended GLA as a later phase, per demand</t>
  </si>
  <si>
    <t xml:space="preserve">Phase 1 scale factor (Phase 1 GLA ÷ Savills GLA) applied to every Savills income line</t>
  </si>
  <si>
    <t xml:space="preserve">Tenant mix kept in Savills' proportions; rent rates per Savills</t>
  </si>
  <si>
    <t xml:space="preserve">Savills income line (SAR M, 53,987 sqm basis)</t>
  </si>
  <si>
    <t xml:space="preserve">Year 1</t>
  </si>
  <si>
    <t xml:space="preserve">Year 2</t>
  </si>
  <si>
    <t xml:space="preserve">Year 3</t>
  </si>
  <si>
    <t xml:space="preserve">Savills pro-forma p.7 (income summary including mezzanine)</t>
  </si>
  <si>
    <t xml:space="preserve">Rental income — units (base rent + revenue share)</t>
  </si>
  <si>
    <t xml:space="preserve">Rental income — specialty leasing (25 locations)</t>
  </si>
  <si>
    <t xml:space="preserve">Service charge income (15% of base rent)</t>
  </si>
  <si>
    <t xml:space="preserve">Marketing income (5% of annual rent)</t>
  </si>
  <si>
    <t xml:space="preserve">Sponsorship</t>
  </si>
  <si>
    <t xml:space="preserve">Media sales income</t>
  </si>
  <si>
    <t xml:space="preserve">Savills total revenue (53,987 sqm)</t>
  </si>
  <si>
    <t xml:space="preserve">Retail revenue at Phase 1 GLA (Savills lines × scale factor)</t>
  </si>
  <si>
    <t xml:space="preserve">Year 1 = 2029 (50% occupancy), Year 2 = 2030 (70%), Year 3 = 2031 stabilised (92%); the 2028 soft opening takes the Q4 factor</t>
  </si>
  <si>
    <t xml:space="preserve">Expansion from 38,597 sqm to Savills' recommended 48,467 sqm (53,987 sqm with mezzanine) is a later retail phase, taken as demand grows; it is not in the base case.</t>
  </si>
  <si>
    <t xml:space="preserve">Rent step-up every 3 years from 2031</t>
  </si>
  <si>
    <t xml:space="preserve">Common-area costs (2029 prices, inflated)</t>
  </si>
  <si>
    <t xml:space="preserve">Marketing expense (% retail revenue, offsets marketing income)</t>
  </si>
  <si>
    <t xml:space="preserve">Savills: 2.61 on 83.46 in year 3</t>
  </si>
  <si>
    <t xml:space="preserve">SPV overheads, land rent, zakat</t>
  </si>
  <si>
    <t xml:space="preserve">Asset management &amp; general administration — SPV overhead covering the asset-management role (2028 prices)</t>
  </si>
  <si>
    <t xml:space="preserve">Shareholders' data; replaces the separate Koushan AM fee</t>
  </si>
  <si>
    <t xml:space="preserve">Operating insurance (2028 prices)</t>
  </si>
  <si>
    <t xml:space="preserve">Overheads in 2028 (% of full year)</t>
  </si>
  <si>
    <t xml:space="preserve">Assumption (Watanco model)</t>
  </si>
  <si>
    <t xml:space="preserve">Cost inflation</t>
  </si>
  <si>
    <t xml:space="preserve">Al-Maqr fixed land rent</t>
  </si>
  <si>
    <t xml:space="preserve">Contract 23/007 and addendum 15 Apr 2024</t>
  </si>
  <si>
    <t xml:space="preserve">Rent-free period ends (decimal year)</t>
  </si>
  <si>
    <t xml:space="preserve">Verbal extension to 15 Apr 2028 — written confirmation outstanding</t>
  </si>
  <si>
    <t xml:space="preserve">Al-Maqr variable rent (% of all SPV revenue)</t>
  </si>
  <si>
    <t xml:space="preserve">Contract 23/007 Art. 6; applies to all SPV revenue (shareholders' confirmation)</t>
  </si>
  <si>
    <t xml:space="preserve">Zakat rate (applied to net profit after depreciation — simplification)</t>
  </si>
  <si>
    <t xml:space="preserve">ZATCA; zakat base simplified</t>
  </si>
  <si>
    <t xml:space="preserve">Depreciation life — buildings</t>
  </si>
  <si>
    <t xml:space="preserve">Accounting policy (to leasehold expiry)</t>
  </si>
  <si>
    <t xml:space="preserve">Depreciation life — FF&amp;E &amp; content</t>
  </si>
  <si>
    <t xml:space="preserve">Accounting policy</t>
  </si>
  <si>
    <t xml:space="preserve">FF&amp;E &amp; content share of GMP</t>
  </si>
  <si>
    <t xml:space="preserve">Hotel FF&amp;E 50 + Centre content 60 = 110 of 550</t>
  </si>
  <si>
    <t xml:space="preserve">Valuation &amp; returns</t>
  </si>
  <si>
    <t xml:space="preserve">Discount rate (project NPV)</t>
  </si>
  <si>
    <t xml:space="preserve">Exit year</t>
  </si>
  <si>
    <t xml:space="preserve">Shareholders' decision, 22 Oct 2026</t>
  </si>
  <si>
    <t xml:space="preserve">Exit cap rate (sensitivity 9–11%)</t>
  </si>
  <si>
    <t xml:space="preserve">Valuation cap rate at completion (lender's view)</t>
  </si>
  <si>
    <t xml:space="preserve">Watanco valuation study range 10–12%</t>
  </si>
  <si>
    <t xml:space="preserve">Koushan in-kind contribution — land</t>
  </si>
  <si>
    <t xml:space="preserve">Land area in Dar Al Qias valuation</t>
  </si>
  <si>
    <t xml:space="preserve">Dar Al Qias, 21 Mar 2024</t>
  </si>
  <si>
    <t xml:space="preserve">Land area handed over</t>
  </si>
  <si>
    <t xml:space="preserve">Al-Maqr handover Apr 2024 / Watanco teaser</t>
  </si>
  <si>
    <t xml:space="preserve">Market rent per Dar Al Qias (205,365 sqm)</t>
  </si>
  <si>
    <t xml:space="preserve">SAR M/yr</t>
  </si>
  <si>
    <t xml:space="preserve">Dar Al Qias p.1: conclusive market rental value</t>
  </si>
  <si>
    <t xml:space="preserve">NPV of lease-rent savings per Dar Al Qias</t>
  </si>
  <si>
    <t xml:space="preserve">Dar Al Qias summary</t>
  </si>
  <si>
    <t xml:space="preserve">Market rent pro-rated to 245,337 sqm</t>
  </si>
  <si>
    <t xml:space="preserve">NPV of rent savings pro-rated to 245,337 sqm (Koushan in-kind value, interim)</t>
  </si>
  <si>
    <t xml:space="preserve">Interim until certified valuation (Companies Law requirement for in-kind shares)</t>
  </si>
  <si>
    <t xml:space="preserve">Illustrative senior facility to Watanco from its financing banks (terms OUTSTANDING — placeholders for KPI sizing only)</t>
  </si>
  <si>
    <t xml:space="preserve">Facility as % of peak funding need</t>
  </si>
  <si>
    <t xml:space="preserve">Placeholder — to be agreed with Watanco's financing banks</t>
  </si>
  <si>
    <t xml:space="preserve">All-in profit/interest rate</t>
  </si>
  <si>
    <t xml:space="preserve">Placeholder</t>
  </si>
  <si>
    <t xml:space="preserve">Grace period (years from 2026): profit capitalised, no principal</t>
  </si>
  <si>
    <t xml:space="preserve">Placeholder — covers construction + opening year (repayment from 2030)</t>
  </si>
  <si>
    <t xml:space="preserve">Final maturity (years from 2026) — legal tenor</t>
  </si>
  <si>
    <t xml:space="preserve">Target DSCR for sculpted repayment (1.00 = 100% cash sweep)</t>
  </si>
  <si>
    <t xml:space="preserve">Placeholder — principal = CFADS ÷ target DSCR − profit</t>
  </si>
  <si>
    <t xml:space="preserve">Component allocation (for component schedules and standalone models)</t>
  </si>
  <si>
    <t xml:space="preserve">Hotel built-up area</t>
  </si>
  <si>
    <t xml:space="preserve">Watanco teaser: 600 keys on 40,000 sqm</t>
  </si>
  <si>
    <t xml:space="preserve">Experience Centre built-up area</t>
  </si>
  <si>
    <t xml:space="preserve">Watanco teaser / LDP</t>
  </si>
  <si>
    <t xml:space="preserve">Retail &amp; F&amp;B built-up area (incl. outdoor &amp; terraces)</t>
  </si>
  <si>
    <t xml:space="preserve">Savills assumed leasable area 48,467 sqm used as BUA proxy; 38,597 sqm net GLA</t>
  </si>
  <si>
    <t xml:space="preserve">Exhibit exit cap rate (Project Returns sheet)</t>
  </si>
  <si>
    <t xml:space="preserve">Conservative lender case; partners' assumption is 7%</t>
  </si>
  <si>
    <t xml:space="preserve">Experience Centre entertainment value per visit (2028 prices)</t>
  </si>
  <si>
    <t xml:space="preserve">LDP Report 6.0; Watanco teaser: ~1.0M visitors × SAR 78</t>
  </si>
  <si>
    <t xml:space="preserve">Retail net GLA — Phase 1 (linked to the retail inputs above)</t>
  </si>
  <si>
    <t xml:space="preserve">Watanco Oct-2026 package; Savills recommended GLA is a later phase</t>
  </si>
  <si>
    <t xml:space="preserve">Hotel included in the programme (1 = yes · 0 = Phase 1 only: retail + Centre)</t>
  </si>
  <si>
    <t xml:space="preserve">Hotel is Phase 2: construction from 2027 after construction permit and Al-Maqr approval (6–8 months)</t>
  </si>
  <si>
    <t xml:space="preserve">Hotel construction phasing — 2027</t>
  </si>
  <si>
    <t xml:space="preserve">24-month build from mid-2027 (permit + Al-Maqr approval 6–8 months)</t>
  </si>
  <si>
    <t xml:space="preserve">Hotel construction phasing — 2028</t>
  </si>
  <si>
    <t xml:space="preserve">Hotel construction phasing — 2029</t>
  </si>
  <si>
    <t xml:space="preserve">Completion mid-2029; hotel opens mid-2029</t>
  </si>
  <si>
    <t xml:space="preserve">Allocation rule: direct items (hotel FF&amp;E, Centre content, pre-opening) to their component; all other GMP items by built-up-area share; fixed land rent and SPV overheads between the flagged components (Centre and retail) in proportion to stabilised 2032 revenue.</t>
  </si>
  <si>
    <t xml:space="preserve">Budget by Component — final presentation within the SAR 550M cap (SAR M)</t>
  </si>
  <si>
    <t xml:space="preserve">Watanco breakdown with pre-opening added inside the cap. Hotel pre-opening from the FF&amp;E &amp; preparation line; Centre and retail pre-opening offset pro-rata against structural works and finishes.</t>
  </si>
  <si>
    <t xml:space="preserve">GMP budget</t>
  </si>
  <si>
    <t xml:space="preserve">Retail</t>
  </si>
  <si>
    <t xml:space="preserve">Experience Centre</t>
  </si>
  <si>
    <t xml:space="preserve">Hotel</t>
  </si>
  <si>
    <t xml:space="preserve">Total (incl. pre-opening)</t>
  </si>
  <si>
    <t xml:space="preserve">Pre-opening offset</t>
  </si>
  <si>
    <t xml:space="preserve">Hotel FF&amp;E (net of pre-opening)</t>
  </si>
  <si>
    <t xml:space="preserve">Hard cost (construction)</t>
  </si>
  <si>
    <t xml:space="preserve">Soft cost</t>
  </si>
  <si>
    <t xml:space="preserve">Pre-opening (added within the cap)</t>
  </si>
  <si>
    <t xml:space="preserve">TOTAL INVESTMENT</t>
  </si>
  <si>
    <t xml:space="preserve">Allocation: direct items to their component; all other items by built-up area (hotel 40,000 / Centre 18,050 / retail 48,467 sqm). Hotel pre-opening 15.0 reduces hotel FF&amp;E to 35.0; Centre 18.2 and retail 19.8 pre-opening reduce structural works and finishes pro-rata. Capex multiplier and Phase-1-only lever on Inputs.</t>
  </si>
  <si>
    <t xml:space="preserve">Capital Expenditure within the SAR 550M cap — Uses (SAR M)</t>
  </si>
  <si>
    <t xml:space="preserve">Watanco budget breakdown (510 construction + 40 soft) with pre-opening absorbed inside the cap: hotel pre-opening from the FF&amp;E &amp; preparation line; Centre and retail pre-opening offset pro-rata against structural works and finishes. Hotel = Phase 2, phased 2027–29.</t>
  </si>
  <si>
    <t xml:space="preserve">SAR million</t>
  </si>
  <si>
    <t xml:space="preserve">Notes</t>
  </si>
  <si>
    <t xml:space="preserve">Total</t>
  </si>
  <si>
    <t xml:space="preserve">2029</t>
  </si>
  <si>
    <t xml:space="preserve">2030</t>
  </si>
  <si>
    <t xml:space="preserve">2031</t>
  </si>
  <si>
    <t xml:space="preserve">2032</t>
  </si>
  <si>
    <t xml:space="preserve">2033</t>
  </si>
  <si>
    <t xml:space="preserve">2034</t>
  </si>
  <si>
    <t xml:space="preserve">2035</t>
  </si>
  <si>
    <t xml:space="preserve">2036</t>
  </si>
  <si>
    <t xml:space="preserve">2037</t>
  </si>
  <si>
    <t xml:space="preserve">2038</t>
  </si>
  <si>
    <t xml:space="preserve">2039</t>
  </si>
  <si>
    <t xml:space="preserve">2040</t>
  </si>
  <si>
    <t xml:space="preserve">2041</t>
  </si>
  <si>
    <t xml:space="preserve">2042</t>
  </si>
  <si>
    <t xml:space="preserve">2043</t>
  </si>
  <si>
    <t xml:space="preserve">2044</t>
  </si>
  <si>
    <t xml:space="preserve">2045</t>
  </si>
  <si>
    <t xml:space="preserve">2046</t>
  </si>
  <si>
    <t xml:space="preserve">2047</t>
  </si>
  <si>
    <t xml:space="preserve">2048</t>
  </si>
  <si>
    <t xml:space="preserve">2049</t>
  </si>
  <si>
    <t xml:space="preserve">2050</t>
  </si>
  <si>
    <t xml:space="preserve">2051</t>
  </si>
  <si>
    <t xml:space="preserve">2052</t>
  </si>
  <si>
    <t xml:space="preserve">2053</t>
  </si>
  <si>
    <t xml:space="preserve">2054</t>
  </si>
  <si>
    <t xml:space="preserve">2055</t>
  </si>
  <si>
    <t xml:space="preserve">2056</t>
  </si>
  <si>
    <t xml:space="preserve">2057</t>
  </si>
  <si>
    <t xml:space="preserve">2058</t>
  </si>
  <si>
    <t xml:space="preserve">2059</t>
  </si>
  <si>
    <t xml:space="preserve">2060</t>
  </si>
  <si>
    <t xml:space="preserve">2061</t>
  </si>
  <si>
    <t xml:space="preserve">2062</t>
  </si>
  <si>
    <t xml:space="preserve">2063</t>
  </si>
  <si>
    <t xml:space="preserve">2064</t>
  </si>
  <si>
    <t xml:space="preserve">2065</t>
  </si>
  <si>
    <t xml:space="preserve">2066</t>
  </si>
  <si>
    <t xml:space="preserve">2067</t>
  </si>
  <si>
    <t xml:space="preserve">2068</t>
  </si>
  <si>
    <t xml:space="preserve">2069</t>
  </si>
  <si>
    <t xml:space="preserve">2070</t>
  </si>
  <si>
    <t xml:space="preserve">2071</t>
  </si>
  <si>
    <t xml:space="preserve">2072</t>
  </si>
  <si>
    <t xml:space="preserve">2073</t>
  </si>
  <si>
    <t xml:space="preserve">2074</t>
  </si>
  <si>
    <t xml:space="preserve">A. Budget items — sum of the three component allocations</t>
  </si>
  <si>
    <t xml:space="preserve">Hard cost</t>
  </si>
  <si>
    <t xml:space="preserve">Hard + soft cost</t>
  </si>
  <si>
    <t xml:space="preserve">B. Pre-opening (within the cap)</t>
  </si>
  <si>
    <t xml:space="preserve">Experience Centre (50% of ProFun)</t>
  </si>
  <si>
    <t xml:space="preserve">Retail landlord fit-out contributions (50% of Savills)</t>
  </si>
  <si>
    <t xml:space="preserve">Hotel pre-opening (from the FF&amp;E &amp; preparation line)</t>
  </si>
  <si>
    <t xml:space="preserve">Total pre-opening</t>
  </si>
  <si>
    <t xml:space="preserve">TOTAL USES (capped at SAR 550M incl. pre-opening)</t>
  </si>
  <si>
    <t xml:space="preserve">Cumulative uses</t>
  </si>
  <si>
    <t xml:space="preserve">C. Memo — VAT (not in returns)</t>
  </si>
  <si>
    <t xml:space="preserve">VAT embedded in the cap (recoverable ~3 months after payment)</t>
  </si>
  <si>
    <t xml:space="preserve">Check: total uses vs SAR 550M cap</t>
  </si>
  <si>
    <t xml:space="preserve">(should be 0.0 in the base case; the cost multiplier and Phase-1-only lever move it)</t>
  </si>
  <si>
    <t xml:space="preserve">Operating Model — Hotel, Experience Centre, Retail (SAR M)</t>
  </si>
  <si>
    <t xml:space="preserve">Base case: ProFun pro-forma (Centre), Savills tenant mix scaled to Phase 1 (retail), IHG-benchmark per key (hotel). Multipliers and delay lever on Inputs.</t>
  </si>
  <si>
    <t xml:space="preserve">Price index (2029 = 1.00)</t>
  </si>
  <si>
    <t xml:space="preserve">Stabilised total revenue at 2029 prices</t>
  </si>
  <si>
    <t xml:space="preserve">Trading factor (opening fraction × ramp)</t>
  </si>
  <si>
    <t xml:space="preserve">Hotel revenue (× Phase-2 inclusion flag)</t>
  </si>
  <si>
    <t xml:space="preserve">GOP margin</t>
  </si>
  <si>
    <t xml:space="preserve">Gross operating profit</t>
  </si>
  <si>
    <t xml:space="preserve">Operator fees (base + incentive) and FF&amp;E reserve</t>
  </si>
  <si>
    <t xml:space="preserve">Hotel NOI</t>
  </si>
  <si>
    <t xml:space="preserve">Full-year revenue — LDP base (+2.5% after 2040)</t>
  </si>
  <si>
    <t xml:space="preserve">Full-year revenue — ProFun pro-forma (+2.5% after 2040)</t>
  </si>
  <si>
    <t xml:space="preserve">ProFun EBITDA margin after management fees</t>
  </si>
  <si>
    <t xml:space="preserve">Full-year revenue — selected case</t>
  </si>
  <si>
    <t xml:space="preserve">Trading factor</t>
  </si>
  <si>
    <t xml:space="preserve">Experience Centre revenue</t>
  </si>
  <si>
    <t xml:space="preserve">EBITDA before operator fees (LDP 31.1%) / after management fees (ProFun)</t>
  </si>
  <si>
    <t xml:space="preserve">Midwam fees (base + incentive) — LDP case only; included in ProFun EBITDA</t>
  </si>
  <si>
    <t xml:space="preserve">Content refresh</t>
  </si>
  <si>
    <t xml:space="preserve">Experience Centre NOI</t>
  </si>
  <si>
    <t xml:space="preserve">Retail &amp; F&amp;B boulevard</t>
  </si>
  <si>
    <t xml:space="preserve">Retail revenue (rent, service charge, specialty, sponsorship, marketing)</t>
  </si>
  <si>
    <t xml:space="preserve">Common-area costs</t>
  </si>
  <si>
    <t xml:space="preserve">Marketing expense</t>
  </si>
  <si>
    <t xml:space="preserve">Retail NOI</t>
  </si>
  <si>
    <t xml:space="preserve">SPV Cash Flow, Shareholder-Loan Waterfall &amp; Distributions (SAR M)</t>
  </si>
  <si>
    <t xml:space="preserve">All SPV cash repays the Watanco shareholder loan (interest-free) in full before any distribution; thereafter 64 / 36.</t>
  </si>
  <si>
    <t xml:space="preserve">Revenue</t>
  </si>
  <si>
    <t xml:space="preserve">Retail &amp; F&amp;B</t>
  </si>
  <si>
    <t xml:space="preserve">Total SPV revenue</t>
  </si>
  <si>
    <t xml:space="preserve">Component NOI (after operator fees)</t>
  </si>
  <si>
    <t xml:space="preserve">Total component NOI</t>
  </si>
  <si>
    <t xml:space="preserve">SPV-level costs</t>
  </si>
  <si>
    <t xml:space="preserve">General administration</t>
  </si>
  <si>
    <t xml:space="preserve">Operating insurance</t>
  </si>
  <si>
    <t xml:space="preserve">Koushan asset-management fee (cancelled — covered by SPV AM &amp; G&amp;A overhead; flags on Inputs)</t>
  </si>
  <si>
    <t xml:space="preserve">Al-Maqr fixed land rent (after rent-free period)</t>
  </si>
  <si>
    <t xml:space="preserve">Al-Maqr variable rent (2% of revenue)</t>
  </si>
  <si>
    <t xml:space="preserve">SPV NET OPERATING INCOME</t>
  </si>
  <si>
    <t xml:space="preserve">NOI margin</t>
  </si>
  <si>
    <t xml:space="preserve">Zakat (simplified)</t>
  </si>
  <si>
    <t xml:space="preserve">Depreciation (buildings 45 yrs; FF&amp;E &amp; content 10 yrs; from 2028)</t>
  </si>
  <si>
    <t xml:space="preserve">Zakat @ 2.5% of positive net profit</t>
  </si>
  <si>
    <t xml:space="preserve">Project cash flow (unlevered, before shareholder loan)</t>
  </si>
  <si>
    <t xml:space="preserve">Capex &amp; pre-opening</t>
  </si>
  <si>
    <t xml:space="preserve">PROJECT NET CASH FLOW</t>
  </si>
  <si>
    <t xml:space="preserve">Cumulative project cash flow</t>
  </si>
  <si>
    <t xml:space="preserve">Shareholder loan — Watanco (interest-free; senior to all distributions)</t>
  </si>
  <si>
    <t xml:space="preserve">Opening balance</t>
  </si>
  <si>
    <t xml:space="preserve">Drawdown (funds all negative cash flow + minimum cash)</t>
  </si>
  <si>
    <t xml:space="preserve">Repayment (100% of surplus cash until repaid)</t>
  </si>
  <si>
    <t xml:space="preserve">Closing balance</t>
  </si>
  <si>
    <t xml:space="preserve">Cash available for distribution</t>
  </si>
  <si>
    <t xml:space="preserve">SPV cash — opening</t>
  </si>
  <si>
    <t xml:space="preserve">SPV cash — closing (held at minimum cash)</t>
  </si>
  <si>
    <t xml:space="preserve">Distributions</t>
  </si>
  <si>
    <t xml:space="preserve">Watanco (64%)</t>
  </si>
  <si>
    <t xml:space="preserve">Koushan (36%)</t>
  </si>
  <si>
    <t xml:space="preserve">Cash to Watanco (debt-service capacity for its financing)</t>
  </si>
  <si>
    <t xml:space="preserve">Loan repayment + 64% distributions</t>
  </si>
  <si>
    <t xml:space="preserve">Watanco net cash flow (drawdowns out, receipts in)</t>
  </si>
  <si>
    <t xml:space="preserve">Illustrative exit (project level)</t>
  </si>
  <si>
    <t xml:space="preserve">Exit value in exit year (next-year NOI ÷ cap, adjusted for remaining leasehold)</t>
  </si>
  <si>
    <t xml:space="preserve">Project cash flow with exit</t>
  </si>
  <si>
    <t xml:space="preserve">Watanco net cash flow with exit (exit proceeds repay loan first, then 64%)</t>
  </si>
  <si>
    <t xml:space="preserve">Koushan cash flow with exit (distributions + AM fee + 36% of exit after loan)</t>
  </si>
  <si>
    <t xml:space="preserve">Returns &amp; Key Metrics</t>
  </si>
  <si>
    <t xml:space="preserve">Project level unlevered, and by shareholder under the agreed waterfall.</t>
  </si>
  <si>
    <t xml:space="preserve">Project (100%, unlevered, before zakat recovery of VAT)</t>
  </si>
  <si>
    <t xml:space="preserve">Hard + soft cost (within the cap)</t>
  </si>
  <si>
    <t xml:space="preserve">Pre-opening (within the cap)</t>
  </si>
  <si>
    <t xml:space="preserve">Total investment (capped at SAR 550M)</t>
  </si>
  <si>
    <t xml:space="preserve">Peak shareholder-loan balance (peak funding need)</t>
  </si>
  <si>
    <t xml:space="preserve">Year of peak funding</t>
  </si>
  <si>
    <t xml:space="preserve">Revenue — 2031</t>
  </si>
  <si>
    <t xml:space="preserve">SPV NOI — 2031</t>
  </si>
  <si>
    <t xml:space="preserve">SPV NOI — 2032 (first full stabilised year)</t>
  </si>
  <si>
    <t xml:space="preserve">Yield on cost — 2032 NOI / total uses</t>
  </si>
  <si>
    <t xml:space="preserve">Project IRR — hold to 2074</t>
  </si>
  <si>
    <t xml:space="preserve">Project IRR — exit in exit year at exit cap</t>
  </si>
  <si>
    <t xml:space="preserve">NPV at discount rate (hold)</t>
  </si>
  <si>
    <t xml:space="preserve">Exit value in exit year</t>
  </si>
  <si>
    <t xml:space="preserve">Cost payback year (cumulative project cash flow turns positive)</t>
  </si>
  <si>
    <t xml:space="preserve">Value at completion — lender's view (2032 NOI ÷ valuation cap, leasehold-adjusted)</t>
  </si>
  <si>
    <t xml:space="preserve">Value at completion ÷ total uses</t>
  </si>
  <si>
    <t xml:space="preserve">Watanco — 64%, interest-free shareholder loan (funder and EPCF contractor)</t>
  </si>
  <si>
    <t xml:space="preserve">Total shareholder loan advanced</t>
  </si>
  <si>
    <t xml:space="preserve">Shareholder loan fully repaid — year</t>
  </si>
  <si>
    <t xml:space="preserve">Total cash received to 2074 (repayment + distributions)</t>
  </si>
  <si>
    <t xml:space="preserve">MOIC to 2074</t>
  </si>
  <si>
    <t xml:space="preserve">IRR to 2074</t>
  </si>
  <si>
    <t xml:space="preserve">IRR with project exit in exit year (exit proceeds repay loan first, then 64%)</t>
  </si>
  <si>
    <t xml:space="preserve">MOIC with project exit in exit year</t>
  </si>
  <si>
    <t xml:space="preserve">Koushan — 36% (land rights, design, permits); no separate asset-management fee</t>
  </si>
  <si>
    <t xml:space="preserve">In-kind contribution — NPV of land-rent savings (pro-rated Dar Al Qias)</t>
  </si>
  <si>
    <t xml:space="preserve">Total distributions to 2074</t>
  </si>
  <si>
    <t xml:space="preserve">Total asset-management fees to 2074</t>
  </si>
  <si>
    <t xml:space="preserve">NPV of distributions + fees at discount rate</t>
  </si>
  <si>
    <t xml:space="preserve">PV of Koushan proceeds with exit in exit year (distributions + fees + 36% of exit after loan)</t>
  </si>
  <si>
    <t xml:space="preserve">Implied value of Koushan's 36% today ÷ in-kind land value</t>
  </si>
  <si>
    <t xml:space="preserve">Exhibit: Project Returns</t>
  </si>
  <si>
    <t xml:space="preserve">Category</t>
  </si>
  <si>
    <t xml:space="preserve">Year 4</t>
  </si>
  <si>
    <t xml:space="preserve">Year 5</t>
  </si>
  <si>
    <t xml:space="preserve">Year 6</t>
  </si>
  <si>
    <t xml:space="preserve">Year 7</t>
  </si>
  <si>
    <t xml:space="preserve">Year 8</t>
  </si>
  <si>
    <t xml:space="preserve">Year 9</t>
  </si>
  <si>
    <t xml:space="preserve">Year 10</t>
  </si>
  <si>
    <t xml:space="preserve">Year 11</t>
  </si>
  <si>
    <t xml:space="preserve">Year 12</t>
  </si>
  <si>
    <t xml:space="preserve">Year 13</t>
  </si>
  <si>
    <t xml:space="preserve">Year 14</t>
  </si>
  <si>
    <t xml:space="preserve">Year 15</t>
  </si>
  <si>
    <t xml:space="preserve">SAR'000</t>
  </si>
  <si>
    <t xml:space="preserve">Key assumptions</t>
  </si>
  <si>
    <t xml:space="preserve">Hotel: keys</t>
  </si>
  <si>
    <t xml:space="preserve">Hotel: blended ADR, SAR</t>
  </si>
  <si>
    <t xml:space="preserve">Hotel: blended occupancy</t>
  </si>
  <si>
    <t xml:space="preserve">Experience Centre: visitors, '000</t>
  </si>
  <si>
    <t xml:space="preserve">Experience Centre: revenue per visitor, SAR</t>
  </si>
  <si>
    <t xml:space="preserve">Retail: net GLA, sqm</t>
  </si>
  <si>
    <t xml:space="preserve">Retail: leasing occupancy</t>
  </si>
  <si>
    <t xml:space="preserve">Retail: average lease rate, SAR per occupied sqm</t>
  </si>
  <si>
    <t xml:space="preserve">Operations</t>
  </si>
  <si>
    <t xml:space="preserve">EBITDA | Retails</t>
  </si>
  <si>
    <t xml:space="preserve">EBITDA | Experience Center</t>
  </si>
  <si>
    <t xml:space="preserve">EBITDA | Hotel</t>
  </si>
  <si>
    <t xml:space="preserve">Land Lease Cost</t>
  </si>
  <si>
    <t xml:space="preserve">Land Lease (revenue share)</t>
  </si>
  <si>
    <t xml:space="preserve">Koushan Asset Management Fee</t>
  </si>
  <si>
    <t xml:space="preserve">SPV overheads (G&amp;A, insurance)</t>
  </si>
  <si>
    <t xml:space="preserve">Project EBITDA</t>
  </si>
  <si>
    <t xml:space="preserve">  Structural works</t>
  </si>
  <si>
    <t xml:space="preserve">  Finishes</t>
  </si>
  <si>
    <t xml:space="preserve">  MEP works</t>
  </si>
  <si>
    <t xml:space="preserve">  Landscaping, water features &amp; infrastructure</t>
  </si>
  <si>
    <t xml:space="preserve">  Hotel FF&amp;E (net of pre-opening)</t>
  </si>
  <si>
    <t xml:space="preserve">  Experience Centre content &amp; AV systems</t>
  </si>
  <si>
    <t xml:space="preserve">  Contingency &amp; project management reserves</t>
  </si>
  <si>
    <t xml:space="preserve">  Design, supervision, fees &amp; permits</t>
  </si>
  <si>
    <t xml:space="preserve">  Marketing, rent &amp; administration during construction</t>
  </si>
  <si>
    <t xml:space="preserve">  Pre-opening (within the SAR 550M cap)</t>
  </si>
  <si>
    <t xml:space="preserve">Total CapEx</t>
  </si>
  <si>
    <t xml:space="preserve">Net Cash</t>
  </si>
  <si>
    <t xml:space="preserve">Exit Value at exhibit cap (final year, leasehold-adjusted)</t>
  </si>
  <si>
    <t xml:space="preserve">Net Cashflows including TV</t>
  </si>
  <si>
    <t xml:space="preserve">Project IRR</t>
  </si>
  <si>
    <t xml:space="preserve">Years 1–15 = 2026–2040. Exit in Year 15 at the exhibit cap rate (Inputs). Before zakat and VAT recovery. Component EBITDA after operator fees; shared GMP items allocated by built-up area; hotel is Phase 2 (construction from 2027 after permit and Al-Maqr approval). Total capex is capped at SAR 550M including pre-opening.</t>
  </si>
  <si>
    <t xml:space="preserve">Exhibit: Hotel Returns</t>
  </si>
  <si>
    <t xml:space="preserve">SAR'000 unless stated</t>
  </si>
  <si>
    <t xml:space="preserve">Blended ADR, SAR</t>
  </si>
  <si>
    <t xml:space="preserve">Blended occupancy</t>
  </si>
  <si>
    <t xml:space="preserve">RevPAR, SAR</t>
  </si>
  <si>
    <t xml:space="preserve">Other revenue (F&amp;B, other) as % of rooms revenue</t>
  </si>
  <si>
    <t xml:space="preserve">GOP margin (IHG benchmark)</t>
  </si>
  <si>
    <t xml:space="preserve">Operator base fee, % of revenue (plus 8% of GOP incentive and 4% FF&amp;E reserve)</t>
  </si>
  <si>
    <t xml:space="preserve">EBITDA | Hotel (after operator fees)</t>
  </si>
  <si>
    <t xml:space="preserve">Land Lease Cost (allocated)</t>
  </si>
  <si>
    <t xml:space="preserve">SPV overheads (allocated)</t>
  </si>
  <si>
    <t xml:space="preserve">Component NOI</t>
  </si>
  <si>
    <t xml:space="preserve">Hotel IRR</t>
  </si>
  <si>
    <t xml:space="preserve">Years 1–15 = 2026–2040. Exit in Year 15 at the exhibit cap rate (Inputs). Before zakat. Shared GMP items allocated by built-up area; fixed land rent and SPV overheads shared between the Experience Centre and retail in proportion to stabilised (2032) revenue, none to the hotel; no separate asset-management fee (covered by the SPV overhead).</t>
  </si>
  <si>
    <t xml:space="preserve">Exhibit: Experience Centre Returns</t>
  </si>
  <si>
    <t xml:space="preserve">Visitors, '000 (full-year equivalent)</t>
  </si>
  <si>
    <t xml:space="preserve">Revenue per visitor, SAR (admissions + F&amp;B + retail + photo)</t>
  </si>
  <si>
    <t xml:space="preserve">Average admission per visitor, SAR (ProFun)</t>
  </si>
  <si>
    <t xml:space="preserve">Trading factor (opening year 25%)</t>
  </si>
  <si>
    <t xml:space="preserve">EBITDA margin after management fees</t>
  </si>
  <si>
    <t xml:space="preserve">EBITDA | Experience Centre (after operator fees)</t>
  </si>
  <si>
    <t xml:space="preserve">Experience Centre IRR</t>
  </si>
  <si>
    <t xml:space="preserve">Exhibit: Retail Returns</t>
  </si>
  <si>
    <t xml:space="preserve">Net GLA, sqm — Phase 1 (Savills recommended 53,987 sqm incl. mezzanine is a later phase)</t>
  </si>
  <si>
    <t xml:space="preserve">Leasing occupancy (Savills ramp)</t>
  </si>
  <si>
    <t xml:space="preserve">Revenue per sqm of total GLA, SAR/yr (all income lines)</t>
  </si>
  <si>
    <t xml:space="preserve">Revenue per occupied sqm, SAR/yr (÷ GLA × occupancy; unit rent alone ≈ SAR 979 at stabilisation)</t>
  </si>
  <si>
    <t xml:space="preserve">Common-area costs, SAR'000</t>
  </si>
  <si>
    <t xml:space="preserve">Retail: Rental income — units (base rent + revenue share)</t>
  </si>
  <si>
    <t xml:space="preserve">Retail: Rental income — specialty leasing</t>
  </si>
  <si>
    <t xml:space="preserve">Retail: Service charge income</t>
  </si>
  <si>
    <t xml:space="preserve">Retail: Marketing income</t>
  </si>
  <si>
    <t xml:space="preserve">Retail: Sponsorship</t>
  </si>
  <si>
    <t xml:space="preserve">Retail: Media sales income</t>
  </si>
  <si>
    <t xml:space="preserve">EBITDA | Retail (after operator fees)</t>
  </si>
  <si>
    <t xml:space="preserve">  FF&amp;E / content (n/a)</t>
  </si>
  <si>
    <t xml:space="preserve">Retail IRR</t>
  </si>
  <si>
    <t xml:space="preserve">Hotel — Component Schedule (SAR M)</t>
  </si>
  <si>
    <t xml:space="preserve">600-key Hotel (300 hotel + 300 serviced apartments). Capex allocated per Inputs rule; revenue and EBITDA per the operating model; fees and rent per agreements. Component IRR on allocated cash flows.</t>
  </si>
  <si>
    <t xml:space="preserve">A. Capital expenditure — budget items allocated to the component (within the SAR 550M cap)</t>
  </si>
  <si>
    <t xml:space="preserve">Hard cost (construction, FF&amp;E, content, reserves)</t>
  </si>
  <si>
    <t xml:space="preserve">Soft cost (design, supervision, fees, marketing, rent &amp; admin)</t>
  </si>
  <si>
    <t xml:space="preserve">Pre-opening (funded within the cap)</t>
  </si>
  <si>
    <t xml:space="preserve">Total component capex</t>
  </si>
  <si>
    <t xml:space="preserve">B. Revenue drivers</t>
  </si>
  <si>
    <t xml:space="preserve">ADR index (2029 = 1.00)</t>
  </si>
  <si>
    <t xml:space="preserve">Blended ADR, SAR (4 peak months @ peak ADR, 8 months off-peak, occupancy-weighted)</t>
  </si>
  <si>
    <t xml:space="preserve">Blended occupancy (× ramp)</t>
  </si>
  <si>
    <t xml:space="preserve">Hotel revenue (rooms + F&amp;B + other)</t>
  </si>
  <si>
    <t xml:space="preserve">Revenue per key, SAR '000</t>
  </si>
  <si>
    <t xml:space="preserve">Component EBITDA (hotel NOI)</t>
  </si>
  <si>
    <t xml:space="preserve">C. SPV charges attributable to the component</t>
  </si>
  <si>
    <t xml:space="preserve">Koushan asset-management fee (5% of revenue where applicable)</t>
  </si>
  <si>
    <t xml:space="preserve">Al-Maqr revenue share (2% of component revenue)</t>
  </si>
  <si>
    <t xml:space="preserve">Al-Maqr fixed land rent × allocation share</t>
  </si>
  <si>
    <t xml:space="preserve">SPV overheads (G&amp;A + insurance) × allocation share</t>
  </si>
  <si>
    <t xml:space="preserve">COMPONENT NOI AFTER FEES AND RENT</t>
  </si>
  <si>
    <t xml:space="preserve">D. Component free cash flow and returns</t>
  </si>
  <si>
    <t xml:space="preserve">Free cash flow (NOI after fees − capex), before zakat</t>
  </si>
  <si>
    <t xml:space="preserve">Cumulative free cash flow</t>
  </si>
  <si>
    <t xml:space="preserve">Exit value in exit year (next-year NOI ÷ exit cap, leasehold-adjusted)</t>
  </si>
  <si>
    <t xml:space="preserve">Free cash flow with exit</t>
  </si>
  <si>
    <t xml:space="preserve">Summary</t>
  </si>
  <si>
    <t xml:space="preserve">Allocated capex (SAR M)</t>
  </si>
  <si>
    <t xml:space="preserve">Component NOI after fees — 2032</t>
  </si>
  <si>
    <t xml:space="preserve">FCF margin at stabilisation (2032 NOI ÷ revenue)</t>
  </si>
  <si>
    <t xml:space="preserve">Yield on allocated capex (2032)</t>
  </si>
  <si>
    <t xml:space="preserve">Component IRR — hold to 2074</t>
  </si>
  <si>
    <t xml:space="preserve">Component IRR — exit in exit year</t>
  </si>
  <si>
    <t xml:space="preserve">Payback year</t>
  </si>
  <si>
    <t xml:space="preserve">Experience Centre — Component Schedule (SAR M)</t>
  </si>
  <si>
    <t xml:space="preserve">Experience Centre (18,050 sqm). Capex allocated per Inputs rule; revenue and EBITDA per the operating model; fees and rent per agreements. Component IRR on allocated cash flows.</t>
  </si>
  <si>
    <t xml:space="preserve">Full-year revenue — LDP base case (+2.5% after 2040)</t>
  </si>
  <si>
    <t xml:space="preserve">Full-year revenue — ProFun consolidated pro-forma (+2.5% after 2040)</t>
  </si>
  <si>
    <t xml:space="preserve">ProFun admissions revenue per visitor, SAR</t>
  </si>
  <si>
    <t xml:space="preserve">ProFun revenue per visitor, SAR</t>
  </si>
  <si>
    <t xml:space="preserve">Full-year revenue — selected case (Inputs: Centre base case)</t>
  </si>
  <si>
    <t xml:space="preserve">Experience Centre revenue (ticketing, F&amp;B, retail)</t>
  </si>
  <si>
    <t xml:space="preserve">Revenue per visitor, SAR (ProFun per-cap / LDP entertainment value +2.5%)</t>
  </si>
  <si>
    <t xml:space="preserve">Implied visitors, '000 (full-year equivalent)</t>
  </si>
  <si>
    <t xml:space="preserve">EBITDA — ProFun after management fees / LDP 31.1% before fees</t>
  </si>
  <si>
    <t xml:space="preserve">Midwam fees (base + incentive) — LDP case only</t>
  </si>
  <si>
    <t xml:space="preserve">Component EBITDA (Centre NOI)</t>
  </si>
  <si>
    <t xml:space="preserve">Retail — Component Schedule (SAR M)</t>
  </si>
  <si>
    <t xml:space="preserve">F&amp;B &amp; Retail Boulevard (38,597 sqm GLA). Capex allocated per Inputs rule; revenue and EBITDA per the operating model; fees and rent per agreements. Component IRR on allocated cash flows.</t>
  </si>
  <si>
    <t xml:space="preserve">Savills × Phase 1 scale factor</t>
  </si>
  <si>
    <t xml:space="preserve">Rental income — specialty leasing</t>
  </si>
  <si>
    <t xml:space="preserve">Service charge income</t>
  </si>
  <si>
    <t xml:space="preserve">Marketing income</t>
  </si>
  <si>
    <t xml:space="preserve">Retail revenue (rent, service charge, specialty, sponsorship, marketing, media)</t>
  </si>
  <si>
    <t xml:space="preserve">Savills: 50% / 70% / 92%</t>
  </si>
  <si>
    <t xml:space="preserve">Revenue per occupied sqm, SAR/yr (all income lines ÷ GLA × occupancy)</t>
  </si>
  <si>
    <t xml:space="preserve">Component EBITDA (retail NOI)</t>
  </si>
  <si>
    <t xml:space="preserve">Retail &amp; F&amp;B boulevard — Tenant mix (Savills, 24 Jul 2024) scaled to the Phase 1 GLA</t>
  </si>
  <si>
    <t xml:space="preserve">Savills' recommended mix on 53,987 sqm (incl. 5,300 sqm optional mezzanine) kept in the same proportions on the 38,597 sqm Phase 1 GLA. Rent rates are Savills' indoor estimates; first-floor units at −30%, outdoor and terraces at 50%, storage at SAR 300.</t>
  </si>
  <si>
    <t xml:space="preserve">Function (Savills)</t>
  </si>
  <si>
    <t xml:space="preserve">Savills GLA, sqm</t>
  </si>
  <si>
    <t xml:space="preserve">Share</t>
  </si>
  <si>
    <t xml:space="preserve">Phase 1 GLA, sqm</t>
  </si>
  <si>
    <t xml:space="preserve">Indoor rent, SAR/sqm/yr</t>
  </si>
  <si>
    <t xml:space="preserve">Potential rent at Phase 1 GLA, SAR M (100% indoor rate)</t>
  </si>
  <si>
    <t xml:space="preserve">Potential rent — Savills GLA, SAR M</t>
  </si>
  <si>
    <t xml:space="preserve">All day dining</t>
  </si>
  <si>
    <t xml:space="preserve">Food Hall</t>
  </si>
  <si>
    <t xml:space="preserve">Specialty Food</t>
  </si>
  <si>
    <t xml:space="preserve">Fine Dining</t>
  </si>
  <si>
    <t xml:space="preserve">Arts &amp; Culture</t>
  </si>
  <si>
    <t xml:space="preserve">Fashion Retail</t>
  </si>
  <si>
    <t xml:space="preserve">Coffee Shop</t>
  </si>
  <si>
    <t xml:space="preserve">Coffee Shop &amp; Co-Working</t>
  </si>
  <si>
    <t xml:space="preserve">Retail Concept Store</t>
  </si>
  <si>
    <t xml:space="preserve">Kids Entertainment</t>
  </si>
  <si>
    <t xml:space="preserve">Accessories</t>
  </si>
  <si>
    <t xml:space="preserve">Supermarket</t>
  </si>
  <si>
    <t xml:space="preserve">Farmer's Market (lump-sum rent SAR 150,000/yr)</t>
  </si>
  <si>
    <t xml:space="preserve">Gift Shop</t>
  </si>
  <si>
    <t xml:space="preserve">Jewelry</t>
  </si>
  <si>
    <t xml:space="preserve">Coffee Shop &amp; Breakfast</t>
  </si>
  <si>
    <t xml:space="preserve">Footwear</t>
  </si>
  <si>
    <t xml:space="preserve">Cosmetics</t>
  </si>
  <si>
    <t xml:space="preserve">IT&amp;C</t>
  </si>
  <si>
    <t xml:space="preserve">Children Retail</t>
  </si>
  <si>
    <t xml:space="preserve">Convenience</t>
  </si>
  <si>
    <t xml:space="preserve">Pastry Shop</t>
  </si>
  <si>
    <t xml:space="preserve">Gift Shop &amp; Book Shop</t>
  </si>
  <si>
    <t xml:space="preserve">Bookshop</t>
  </si>
  <si>
    <t xml:space="preserve">Nuts &amp; Convenience</t>
  </si>
  <si>
    <t xml:space="preserve">Chocolates &amp; Gifting</t>
  </si>
  <si>
    <t xml:space="preserve">Optics</t>
  </si>
  <si>
    <t xml:space="preserve">Storage</t>
  </si>
  <si>
    <t xml:space="preserve">Reconciliation to the Savills pro-forma (Year 3, stabilised)</t>
  </si>
  <si>
    <t xml:space="preserve">Savills rental income — units, Year 3 at 92% occupancy (SAR M, 53,987 sqm)</t>
  </si>
  <si>
    <t xml:space="preserve">÷ 92% occupancy = gross unit rent at full occupancy (SAR M)</t>
  </si>
  <si>
    <t xml:space="preserve">Blended factor vs 100% indoor rates (first floor −30%, outdoor &amp; terraces 50%, step-up)</t>
  </si>
  <si>
    <t xml:space="preserve">Phase 1 scale factor (38,597 ÷ 53,987)</t>
  </si>
  <si>
    <t xml:space="preserve">Phase 1 unit rent, Year 3 (SAR M) = Savills × scale</t>
  </si>
  <si>
    <t xml:space="preserve">Phase 1 total retail revenue, Year 3 incl. service charge, specialty, sponsorship, marketing, media (SAR M)</t>
  </si>
  <si>
    <t xml:space="preserve">Revenue per occupied sqm at stabilisation (SAR/yr) — all income lines ÷ (GLA × 92%)</t>
  </si>
  <si>
    <t xml:space="preserve">Revenue per sqm of total GLA at stabilisation (SAR/yr)</t>
  </si>
  <si>
    <t xml:space="preserve">Unit rent per occupied sqm at stabilisation (SAR/yr) = average indoor rate × blended factor</t>
  </si>
  <si>
    <t xml:space="preserve">How the tenant mix ties to the revenue line</t>
  </si>
  <si>
    <t xml:space="preserve">1. Tenant mix at the Phase 1 GLA, 100% occupancy, Savills indoor rates: 38,597 sqm × the mix-weighted average rate (col. F total).</t>
  </si>
  <si>
    <t xml:space="preserve">2. × blended factor 0.889 — Savills lets first-floor units at −30% and outdoor/terraces at 50% of the indoor rate (their own unit rent at full occupancy is 0.889 × their potential at indoor rates).</t>
  </si>
  <si>
    <t xml:space="preserve">3. × 92% stabilised occupancy = the 'Rental income — units' line in Year 3 (2031). Per occupied sqm this equals the average indoor rate × 0.889.</t>
  </si>
  <si>
    <t xml:space="preserve">4. + the non-unit lines Savills layered on top (specialty leasing, service charge, marketing income, sponsorship, media) = total retail revenue; ÷ occupied sqm gives the all-in revenue rate shown in the exhibit.</t>
  </si>
  <si>
    <t xml:space="preserve">Note: the exhibit rate is per OCCUPIED sqm (GLA × occupancy) so it stays comparable with Savills' quoted rents and does not collapse during the 50/70/92% ramp; per sqm of total GLA is shown alongside. The 0.889 factor is derived to tie to Savills' Year 3 (it also absorbs Savills' step-up assumption) — it is not an independent input.</t>
  </si>
  <si>
    <t xml:space="preserve">Storage, outdoor and terrace areas are let at reduced rates; Savills' pro-forma also assumes 25 specialty-leasing locations, sponsorship and media income, which are scaled with the GLA for prudence.</t>
  </si>
  <si>
    <t xml:space="preserve">Expansion to Savills' recommended 48,467 sqm (53,987 sqm with mezzanine) is a later retail phase to be taken as demand grows; it is not in the base case and would add c. 40% to the retail revenue lines at the same rates.</t>
  </si>
  <si>
    <t xml:space="preserve">Illustrative Senior Facility to Watanco — Coverage KPIs (SAR M)</t>
  </si>
  <si>
    <t xml:space="preserve">Facility terms are OUTSTANDING; placeholders on Inputs. Debt service is met from Watanco's receipts from the SPV (loan repayment + 51% distributions).</t>
  </si>
  <si>
    <t xml:space="preserve">Facility</t>
  </si>
  <si>
    <t xml:space="preserve">Facility amount (= % of peak funding need)</t>
  </si>
  <si>
    <t xml:space="preserve">Drawdown (mirrors shareholder-loan drawdown)</t>
  </si>
  <si>
    <t xml:space="preserve">Profit / interest accrued (on opening balance + half-year drawdown)</t>
  </si>
  <si>
    <t xml:space="preserve">of which capitalised during grace</t>
  </si>
  <si>
    <t xml:space="preserve">Profit / interest paid in cash</t>
  </si>
  <si>
    <t xml:space="preserve">Principal repayment (sculpted to CFADS ÷ target DSCR after grace)</t>
  </si>
  <si>
    <t xml:space="preserve">Total debt service (cash)</t>
  </si>
  <si>
    <t xml:space="preserve">Coverage</t>
  </si>
  <si>
    <t xml:space="preserve">CFADS — cash received by Watanco from SPV</t>
  </si>
  <si>
    <t xml:space="preserve">DSCR</t>
  </si>
  <si>
    <t xml:space="preserve">LLCR (PV of remaining CFADS at facility rate ÷ outstanding debt)</t>
  </si>
  <si>
    <t xml:space="preserve">DSCR helper (99 where no debt service)</t>
  </si>
  <si>
    <t xml:space="preserve">Interest cover helper (CFADS ÷ profit; 99 where none)</t>
  </si>
  <si>
    <t xml:space="preserve">Loan-to-value at completion (closing debt ÷ lender's value)</t>
  </si>
  <si>
    <t xml:space="preserve">Minimum DSCR (repayment period)</t>
  </si>
  <si>
    <t xml:space="preserve">Average DSCR (repayment period)</t>
  </si>
  <si>
    <t xml:space="preserve">Minimum interest cover (CFADS ÷ profit) during repayment</t>
  </si>
  <si>
    <t xml:space="preserve">Peak facility balance</t>
  </si>
  <si>
    <t xml:space="preserve">Total profit / interest paid</t>
  </si>
  <si>
    <t xml:space="preserve">Facility fully repaid — year</t>
  </si>
  <si>
    <t xml:space="preserve">Construction-period funding need by quarter (SAR M)</t>
  </si>
  <si>
    <t xml:space="preserve">Watanco Project Cash Flow (Oct 2026), item-based phasing; pre-opening added per shareholders' decision. Basis for the drawdown schedule.</t>
  </si>
  <si>
    <t xml:space="preserve">Quarter</t>
  </si>
  <si>
    <t xml:space="preserve">GMP investment (Watanco)</t>
  </si>
  <si>
    <t xml:space="preserve">Pre-opening (project share)</t>
  </si>
  <si>
    <t xml:space="preserve">Net operating income (Watanco)</t>
  </si>
  <si>
    <t xml:space="preserve">Net cash flow</t>
  </si>
  <si>
    <t xml:space="preserve">Cumulative funding need</t>
  </si>
  <si>
    <t xml:space="preserve">Q3 2026</t>
  </si>
  <si>
    <t xml:space="preserve">Q4 2026</t>
  </si>
  <si>
    <t xml:space="preserve">Q1 2027</t>
  </si>
  <si>
    <t xml:space="preserve">Q2 2027</t>
  </si>
  <si>
    <t xml:space="preserve">Q3 2027</t>
  </si>
  <si>
    <t xml:space="preserve">Q4 2027</t>
  </si>
  <si>
    <t xml:space="preserve">Q1 2028</t>
  </si>
  <si>
    <t xml:space="preserve">Q2 2028</t>
  </si>
  <si>
    <t xml:space="preserve">Q3 2028</t>
  </si>
  <si>
    <t xml:space="preserve">Q4 2028</t>
  </si>
  <si>
    <t xml:space="preserve">Q1 2029</t>
  </si>
  <si>
    <t xml:space="preserve">Q2 2029</t>
  </si>
  <si>
    <t xml:space="preserve">Q3 2029</t>
  </si>
  <si>
    <t xml:space="preserve">Q4 2029</t>
  </si>
  <si>
    <t xml:space="preserve">Peak funding need</t>
  </si>
  <si>
    <t xml:space="preserve">Source: Watanco '15_Project_Cash_Flow_EN' §5.1 quarterly table (GMP and NOI columns, blue). Pre-opening quarterly phasing is an assumption consistent with ProFun (86% in final 12 months) and Savills leasing ramp. VAT recovery (~SAR 72M) would reduce the peak by ~SAR 65M.</t>
  </si>
  <si>
    <t xml:space="preserve">Sensitivity Analysis — values from scenario runs of this model</t>
  </si>
  <si>
    <t xml:space="preserve">Each row = this workbook recalculated with the Inputs levers shown. Pasted values (dated); re-run by changing the levers on Inputs.</t>
  </si>
  <si>
    <t xml:space="preserve">Scenario</t>
  </si>
  <si>
    <t xml:space="preserve">Peak funding need (SAR M)</t>
  </si>
  <si>
    <t xml:space="preserve">SPV NOI 2032 (SAR M)</t>
  </si>
  <si>
    <t xml:space="preserve">Yield on cost</t>
  </si>
  <si>
    <t xml:space="preserve">Project IRR — hold</t>
  </si>
  <si>
    <t xml:space="preserve">Project IRR — 2040 exit</t>
  </si>
  <si>
    <t xml:space="preserve">Cost payback year</t>
  </si>
  <si>
    <t xml:space="preserve">Shareholder loan repaid</t>
  </si>
  <si>
    <t xml:space="preserve">Watanco IRR — 2040 exit</t>
  </si>
  <si>
    <t xml:space="preserve">Illustrative facility: peak (SAR M)</t>
  </si>
  <si>
    <t xml:space="preserve">Illustrative facility: repaid</t>
  </si>
  <si>
    <t xml:space="preserve">Min interest cover</t>
  </si>
  <si>
    <t xml:space="preserve">Base case (agreed structure)</t>
  </si>
  <si>
    <t xml:space="preserve">Construction cost +10% (Watanco-funded overrun, shown for stress)</t>
  </si>
  <si>
    <t xml:space="preserve">Hotel revenue −20%</t>
  </si>
  <si>
    <t xml:space="preserve">Hotel at IHG 300-key level (hotel revenue −50%, full FF&amp;E retained)</t>
  </si>
  <si>
    <t xml:space="preserve">Experience Centre revenue −25%</t>
  </si>
  <si>
    <t xml:space="preserve">Experience Centre at LDP base case (instead of ProFun)</t>
  </si>
  <si>
    <t xml:space="preserve">Retail revenue −15%</t>
  </si>
  <si>
    <t xml:space="preserve">All revenue −20%</t>
  </si>
  <si>
    <t xml:space="preserve">Opening delayed one year</t>
  </si>
  <si>
    <t xml:space="preserve">Combined: cost +10%, all revenue −15%, one-year delay</t>
  </si>
  <si>
    <t xml:space="preserve">Phase 1 only — retail and Centre; hotel deferred (shows the hotel's uplift)</t>
  </si>
  <si>
    <t xml:space="preserve">Exit cap rate 9% (base operations)</t>
  </si>
  <si>
    <t xml:space="preserve">Exit cap rate 11% (base operations)</t>
  </si>
  <si>
    <t xml:space="preserve">Values pasted from scenario runs of this workbook on 21 Oct 2026 (LibreOffice recalculation). Levers used: Inputs rows 'Scenario levers' and 'Exit cap rate'. Facility KPIs use the illustrative placeholder terms on Inputs (6.5%, 4-year grace with capitalised profit, 100% cash sweep).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</si>
</sst>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0.00\x"/>
    <numFmt numFmtId="166" formatCode="#,##0;\(#,##0\);\-"/>
    <numFmt numFmtId="167" formatCode="0.0%;\(0.0%\);\-"/>
    <numFmt numFmtId="168" formatCode="0"/>
    <numFmt numFmtId="169" formatCode="#,##0.0;\(#,##0.0\);\-"/>
    <numFmt numFmtId="170" formatCode="0.00"/>
    <numFmt numFmtId="171" formatCode="0.000"/>
    <numFmt numFmtId="172" formatCode="0.0%"/>
    <numFmt numFmtId="173" formatCode="0.000\x"/>
    <numFmt numFmtId="174" formatCode="#,##0"/>
    <numFmt numFmtId="175" formatCode="0.00\x"/>
  </numFmts>
  <fonts count="3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Arial"/>
      <family val="0"/>
      <charset val="1"/>
    </font>
    <font>
      <b val="true"/>
      <sz val="20"/>
      <color rgb="FF333333"/>
      <name val="Arial"/>
      <family val="0"/>
      <charset val="1"/>
    </font>
    <font>
      <sz val="12"/>
      <color rgb="FF595959"/>
      <name val="Arial"/>
      <family val="0"/>
      <charset val="1"/>
    </font>
    <font>
      <sz val="10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9"/>
      <color rgb="FF595959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1"/>
      <color rgb="FFA8001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A80014"/>
      <name val="Arial"/>
      <family val="0"/>
      <charset val="1"/>
    </font>
    <font>
      <sz val="8"/>
      <color rgb="FF8C8C8C"/>
      <name val="Arial"/>
      <family val="0"/>
      <charset val="1"/>
    </font>
    <font>
      <b val="true"/>
      <i val="true"/>
      <sz val="11"/>
      <color rgb="FFA80014"/>
      <name val="Arial"/>
      <family val="0"/>
      <charset val="1"/>
    </font>
    <font>
      <i val="true"/>
      <sz val="10"/>
      <color rgb="FFA80014"/>
      <name val="Arial"/>
      <family val="0"/>
      <charset val="1"/>
    </font>
    <font>
      <i val="true"/>
      <sz val="9"/>
      <color rgb="FF1F3864"/>
      <name val="Arial"/>
      <family val="0"/>
      <charset val="1"/>
    </font>
    <font>
      <b val="true"/>
      <sz val="10"/>
      <color rgb="FFA80014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10"/>
      <color rgb="FF005430"/>
      <name val="Arial"/>
      <family val="0"/>
      <charset val="1"/>
    </font>
    <font>
      <sz val="10"/>
      <color rgb="FFA80014"/>
      <name val="Arial"/>
      <family val="0"/>
      <charset val="1"/>
    </font>
    <font>
      <sz val="9"/>
      <color rgb="FF1F3864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sz val="8"/>
      <color rgb="FFA6A6A6"/>
      <name val="Arial"/>
      <family val="0"/>
      <charset val="1"/>
    </font>
    <font>
      <sz val="10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A80014"/>
        <bgColor rgb="FF800000"/>
      </patternFill>
    </fill>
    <fill>
      <patternFill patternType="solid">
        <fgColor rgb="FFFFFF00"/>
        <bgColor rgb="FFFFFF00"/>
      </patternFill>
    </fill>
    <fill>
      <patternFill patternType="solid">
        <fgColor rgb="FF8B1A2B"/>
        <bgColor rgb="FF800000"/>
      </patternFill>
    </fill>
    <fill>
      <patternFill patternType="solid">
        <fgColor rgb="FFC6E0B4"/>
        <bgColor rgb="FFCCFFCC"/>
      </patternFill>
    </fill>
    <fill>
      <patternFill patternType="solid">
        <fgColor rgb="FFFFF2CC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3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3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13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9" fontId="13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13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9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9" fontId="8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8" fillId="4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70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3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13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1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8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9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71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7" fillId="5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7" fillId="5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2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2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2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8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2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5" fillId="6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8" fillId="6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24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9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2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8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72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72" fontId="8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3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3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3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74" fontId="8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8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8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3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3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3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3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A80014"/>
      <rgbColor rgb="FF008000"/>
      <rgbColor rgb="FF000080"/>
      <rgbColor rgb="FF808000"/>
      <rgbColor rgb="FF800080"/>
      <rgbColor rgb="FF008080"/>
      <rgbColor rgb="FFC6E0B4"/>
      <rgbColor rgb="FF808080"/>
      <rgbColor rgb="FFA6A6A6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5430"/>
      <rgbColor rgb="FF333300"/>
      <rgbColor rgb="FF8B1A2B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worksheet" Target="worksheets/sheet18.xml"/><Relationship Id="rId2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50"/>
    <col collapsed="false" customWidth="true" hidden="false" outlineLevel="0" max="3" min="3" style="1" width="70"/>
  </cols>
  <sheetData>
    <row r="1" customFormat="false" ht="15" hidden="false" customHeight="true" outlineLevel="0" collapsed="false">
      <c r="A1" s="2"/>
      <c r="B1" s="2"/>
      <c r="C1" s="2"/>
    </row>
    <row r="2" customFormat="false" ht="24" hidden="false" customHeight="true" outlineLevel="0" collapsed="false">
      <c r="A2" s="2"/>
      <c r="B2" s="3" t="s">
        <v>0</v>
      </c>
      <c r="C2" s="2"/>
    </row>
    <row r="3" customFormat="false" ht="15" hidden="false" customHeight="true" outlineLevel="0" collapsed="false">
      <c r="A3" s="2"/>
      <c r="B3" s="4" t="s">
        <v>1</v>
      </c>
      <c r="C3" s="2"/>
    </row>
    <row r="4" customFormat="false" ht="15" hidden="false" customHeight="true" outlineLevel="0" collapsed="false">
      <c r="A4" s="2"/>
      <c r="B4" s="5" t="s">
        <v>2</v>
      </c>
      <c r="C4" s="2"/>
    </row>
    <row r="5" customFormat="false" ht="15" hidden="false" customHeight="true" outlineLevel="0" collapsed="false">
      <c r="A5" s="2"/>
      <c r="B5" s="2"/>
      <c r="C5" s="2"/>
    </row>
    <row r="6" customFormat="false" ht="45" hidden="false" customHeight="true" outlineLevel="0" collapsed="false">
      <c r="A6" s="2"/>
      <c r="B6" s="6" t="s">
        <v>3</v>
      </c>
      <c r="C6" s="7" t="s">
        <v>4</v>
      </c>
    </row>
    <row r="7" customFormat="false" ht="45" hidden="false" customHeight="true" outlineLevel="0" collapsed="false">
      <c r="A7" s="2"/>
      <c r="B7" s="6" t="s">
        <v>5</v>
      </c>
      <c r="C7" s="7" t="s">
        <v>6</v>
      </c>
    </row>
    <row r="8" customFormat="false" ht="45" hidden="false" customHeight="true" outlineLevel="0" collapsed="false">
      <c r="A8" s="2"/>
      <c r="B8" s="6" t="s">
        <v>7</v>
      </c>
      <c r="C8" s="7" t="s">
        <v>8</v>
      </c>
    </row>
    <row r="9" customFormat="false" ht="45" hidden="false" customHeight="true" outlineLevel="0" collapsed="false">
      <c r="A9" s="2"/>
      <c r="B9" s="6" t="s">
        <v>9</v>
      </c>
      <c r="C9" s="7" t="s">
        <v>10</v>
      </c>
    </row>
    <row r="10" customFormat="false" ht="45" hidden="false" customHeight="true" outlineLevel="0" collapsed="false">
      <c r="A10" s="2"/>
      <c r="B10" s="6" t="s">
        <v>11</v>
      </c>
      <c r="C10" s="7" t="s">
        <v>12</v>
      </c>
    </row>
    <row r="11" customFormat="false" ht="45" hidden="false" customHeight="true" outlineLevel="0" collapsed="false">
      <c r="A11" s="2"/>
      <c r="B11" s="6" t="s">
        <v>13</v>
      </c>
      <c r="C11" s="7" t="s">
        <v>14</v>
      </c>
    </row>
    <row r="12" customFormat="false" ht="45" hidden="false" customHeight="true" outlineLevel="0" collapsed="false">
      <c r="A12" s="2"/>
      <c r="B12" s="6" t="s">
        <v>15</v>
      </c>
      <c r="C12" s="7" t="s">
        <v>16</v>
      </c>
    </row>
    <row r="13" customFormat="false" ht="45" hidden="false" customHeight="true" outlineLevel="0" collapsed="false">
      <c r="A13" s="2"/>
      <c r="B13" s="6" t="s">
        <v>17</v>
      </c>
      <c r="C13" s="7" t="s">
        <v>18</v>
      </c>
    </row>
    <row r="14" customFormat="false" ht="45" hidden="false" customHeight="true" outlineLevel="0" collapsed="false">
      <c r="A14" s="2"/>
      <c r="B14" s="6" t="s">
        <v>19</v>
      </c>
      <c r="C14" s="7" t="s">
        <v>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8"/>
    <col collapsed="false" customWidth="true" hidden="false" outlineLevel="0" max="2" min="2" style="1" width="14"/>
    <col collapsed="false" customWidth="true" hidden="false" outlineLevel="0" max="3" min="3" style="1" width="10"/>
    <col collapsed="false" customWidth="true" hidden="false" outlineLevel="0" max="4" min="4" style="1" width="70"/>
  </cols>
  <sheetData>
    <row r="1" customFormat="false" ht="17.25" hidden="false" customHeight="true" outlineLevel="0" collapsed="false">
      <c r="A1" s="8" t="s">
        <v>21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customFormat="false" ht="15" hidden="false" customHeight="true" outlineLevel="0" collapsed="false">
      <c r="A2" s="10" t="s">
        <v>22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false" ht="15" hidden="false" customHeight="tru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15" hidden="false" customHeight="true" outlineLevel="0" collapsed="false">
      <c r="A4" s="11" t="s">
        <v>23</v>
      </c>
      <c r="B4" s="12"/>
      <c r="C4" s="12"/>
      <c r="D4" s="12"/>
      <c r="E4" s="2"/>
      <c r="F4" s="2"/>
      <c r="G4" s="2"/>
      <c r="H4" s="2"/>
      <c r="I4" s="2"/>
      <c r="J4" s="2"/>
      <c r="K4" s="2"/>
    </row>
    <row r="5" customFormat="false" ht="15" hidden="false" customHeight="true" outlineLevel="0" collapsed="false">
      <c r="A5" s="13" t="s">
        <v>24</v>
      </c>
      <c r="B5" s="14" t="n">
        <v>1</v>
      </c>
      <c r="C5" s="15" t="s">
        <v>25</v>
      </c>
      <c r="D5" s="15" t="s">
        <v>26</v>
      </c>
      <c r="E5" s="2"/>
      <c r="F5" s="2"/>
      <c r="G5" s="2"/>
      <c r="H5" s="2"/>
      <c r="I5" s="2"/>
      <c r="J5" s="2"/>
      <c r="K5" s="2"/>
    </row>
    <row r="6" customFormat="false" ht="15" hidden="false" customHeight="true" outlineLevel="0" collapsed="false">
      <c r="A6" s="13" t="s">
        <v>27</v>
      </c>
      <c r="B6" s="14" t="n">
        <v>1</v>
      </c>
      <c r="C6" s="15" t="s">
        <v>25</v>
      </c>
      <c r="D6" s="15" t="s">
        <v>28</v>
      </c>
      <c r="E6" s="2"/>
      <c r="F6" s="2"/>
      <c r="G6" s="2"/>
      <c r="H6" s="2"/>
      <c r="I6" s="2"/>
      <c r="J6" s="2"/>
      <c r="K6" s="2"/>
    </row>
    <row r="7" customFormat="false" ht="15" hidden="false" customHeight="true" outlineLevel="0" collapsed="false">
      <c r="A7" s="13" t="s">
        <v>29</v>
      </c>
      <c r="B7" s="14" t="n">
        <v>1</v>
      </c>
      <c r="C7" s="15" t="s">
        <v>25</v>
      </c>
      <c r="D7" s="15" t="s">
        <v>28</v>
      </c>
      <c r="E7" s="2"/>
      <c r="F7" s="2"/>
      <c r="G7" s="2"/>
      <c r="H7" s="2"/>
      <c r="I7" s="2"/>
      <c r="J7" s="2"/>
      <c r="K7" s="2"/>
    </row>
    <row r="8" customFormat="false" ht="15" hidden="false" customHeight="true" outlineLevel="0" collapsed="false">
      <c r="A8" s="13" t="s">
        <v>30</v>
      </c>
      <c r="B8" s="14" t="n">
        <v>1</v>
      </c>
      <c r="C8" s="15" t="s">
        <v>25</v>
      </c>
      <c r="D8" s="15" t="s">
        <v>28</v>
      </c>
      <c r="E8" s="2"/>
      <c r="F8" s="2"/>
      <c r="G8" s="2"/>
      <c r="H8" s="2"/>
      <c r="I8" s="2"/>
      <c r="J8" s="2"/>
      <c r="K8" s="2"/>
    </row>
    <row r="9" customFormat="false" ht="15" hidden="false" customHeight="true" outlineLevel="0" collapsed="false">
      <c r="A9" s="13" t="s">
        <v>31</v>
      </c>
      <c r="B9" s="16" t="n">
        <v>0</v>
      </c>
      <c r="C9" s="15" t="s">
        <v>32</v>
      </c>
      <c r="D9" s="15" t="s">
        <v>33</v>
      </c>
      <c r="E9" s="2"/>
      <c r="F9" s="2"/>
      <c r="G9" s="2"/>
      <c r="H9" s="2"/>
      <c r="I9" s="2"/>
      <c r="J9" s="2"/>
      <c r="K9" s="2"/>
    </row>
    <row r="10" customFormat="false" ht="15" hidden="false" customHeight="true" outlineLevel="0" collapsed="false">
      <c r="A10" s="11" t="s">
        <v>34</v>
      </c>
      <c r="B10" s="12"/>
      <c r="C10" s="12"/>
      <c r="D10" s="12"/>
      <c r="E10" s="2"/>
      <c r="F10" s="2"/>
      <c r="G10" s="2"/>
      <c r="H10" s="2"/>
      <c r="I10" s="2"/>
      <c r="J10" s="2"/>
      <c r="K10" s="2"/>
    </row>
    <row r="11" customFormat="false" ht="15" hidden="false" customHeight="true" outlineLevel="0" collapsed="false">
      <c r="A11" s="13" t="s">
        <v>35</v>
      </c>
      <c r="B11" s="17" t="n">
        <v>0.64</v>
      </c>
      <c r="C11" s="15" t="s">
        <v>36</v>
      </c>
      <c r="D11" s="15" t="s">
        <v>37</v>
      </c>
      <c r="E11" s="2"/>
      <c r="F11" s="2"/>
      <c r="G11" s="2"/>
      <c r="H11" s="2"/>
      <c r="I11" s="2"/>
      <c r="J11" s="2"/>
      <c r="K11" s="2"/>
    </row>
    <row r="12" customFormat="false" ht="15" hidden="false" customHeight="true" outlineLevel="0" collapsed="false">
      <c r="A12" s="13" t="s">
        <v>38</v>
      </c>
      <c r="B12" s="17" t="n">
        <v>0.36</v>
      </c>
      <c r="C12" s="15" t="s">
        <v>36</v>
      </c>
      <c r="D12" s="15" t="s">
        <v>39</v>
      </c>
      <c r="E12" s="2"/>
      <c r="F12" s="2"/>
      <c r="G12" s="2"/>
      <c r="H12" s="2"/>
      <c r="I12" s="2"/>
      <c r="J12" s="2"/>
      <c r="K12" s="2"/>
    </row>
    <row r="13" customFormat="false" ht="15" hidden="false" customHeight="true" outlineLevel="0" collapsed="false">
      <c r="A13" s="13" t="s">
        <v>40</v>
      </c>
      <c r="B13" s="17" t="n">
        <v>0.05</v>
      </c>
      <c r="C13" s="15" t="s">
        <v>36</v>
      </c>
      <c r="D13" s="15" t="s">
        <v>41</v>
      </c>
      <c r="E13" s="2"/>
      <c r="F13" s="2"/>
      <c r="G13" s="2"/>
      <c r="H13" s="2"/>
      <c r="I13" s="2"/>
      <c r="J13" s="2"/>
      <c r="K13" s="2"/>
    </row>
    <row r="14" customFormat="false" ht="15" hidden="false" customHeight="true" outlineLevel="0" collapsed="false">
      <c r="A14" s="13" t="s">
        <v>42</v>
      </c>
      <c r="B14" s="18" t="n">
        <v>0</v>
      </c>
      <c r="C14" s="15" t="s">
        <v>43</v>
      </c>
      <c r="D14" s="15" t="s">
        <v>44</v>
      </c>
      <c r="E14" s="2"/>
      <c r="F14" s="2"/>
      <c r="G14" s="2"/>
      <c r="H14" s="2"/>
      <c r="I14" s="2"/>
      <c r="J14" s="2"/>
      <c r="K14" s="2"/>
    </row>
    <row r="15" customFormat="false" ht="15" hidden="false" customHeight="true" outlineLevel="0" collapsed="false">
      <c r="A15" s="13" t="s">
        <v>45</v>
      </c>
      <c r="B15" s="18" t="n">
        <v>0</v>
      </c>
      <c r="C15" s="15" t="s">
        <v>43</v>
      </c>
      <c r="D15" s="15" t="s">
        <v>46</v>
      </c>
      <c r="E15" s="2"/>
      <c r="F15" s="2"/>
      <c r="G15" s="2"/>
      <c r="H15" s="2"/>
      <c r="I15" s="2"/>
      <c r="J15" s="2"/>
      <c r="K15" s="2"/>
    </row>
    <row r="16" customFormat="false" ht="15" hidden="false" customHeight="true" outlineLevel="0" collapsed="false">
      <c r="A16" s="13" t="s">
        <v>47</v>
      </c>
      <c r="B16" s="18" t="n">
        <v>0</v>
      </c>
      <c r="C16" s="15" t="s">
        <v>43</v>
      </c>
      <c r="D16" s="15" t="s">
        <v>48</v>
      </c>
      <c r="E16" s="2"/>
      <c r="F16" s="2"/>
      <c r="G16" s="2"/>
      <c r="H16" s="2"/>
      <c r="I16" s="2"/>
      <c r="J16" s="2"/>
      <c r="K16" s="2"/>
    </row>
    <row r="17" customFormat="false" ht="15" hidden="false" customHeight="true" outlineLevel="0" collapsed="false">
      <c r="A17" s="13" t="s">
        <v>49</v>
      </c>
      <c r="B17" s="18" t="n">
        <v>0</v>
      </c>
      <c r="C17" s="15" t="s">
        <v>43</v>
      </c>
      <c r="D17" s="15" t="s">
        <v>50</v>
      </c>
      <c r="E17" s="2"/>
      <c r="F17" s="2"/>
      <c r="G17" s="2"/>
      <c r="H17" s="2"/>
      <c r="I17" s="2"/>
      <c r="J17" s="2"/>
      <c r="K17" s="2"/>
    </row>
    <row r="18" customFormat="false" ht="15" hidden="false" customHeight="true" outlineLevel="0" collapsed="false">
      <c r="A18" s="13" t="s">
        <v>51</v>
      </c>
      <c r="B18" s="18" t="n">
        <v>1</v>
      </c>
      <c r="C18" s="15" t="s">
        <v>43</v>
      </c>
      <c r="D18" s="15" t="s">
        <v>52</v>
      </c>
      <c r="E18" s="2"/>
      <c r="F18" s="2"/>
      <c r="G18" s="2"/>
      <c r="H18" s="2"/>
      <c r="I18" s="2"/>
      <c r="J18" s="2"/>
      <c r="K18" s="2"/>
    </row>
    <row r="19" customFormat="false" ht="15" hidden="false" customHeight="true" outlineLevel="0" collapsed="false">
      <c r="A19" s="13" t="s">
        <v>53</v>
      </c>
      <c r="B19" s="18" t="n">
        <v>1</v>
      </c>
      <c r="C19" s="15" t="s">
        <v>43</v>
      </c>
      <c r="D19" s="15" t="s">
        <v>54</v>
      </c>
      <c r="E19" s="2"/>
      <c r="F19" s="2"/>
      <c r="G19" s="2"/>
      <c r="H19" s="2"/>
      <c r="I19" s="2"/>
      <c r="J19" s="2"/>
      <c r="K19" s="2"/>
    </row>
    <row r="20" customFormat="false" ht="15" hidden="false" customHeight="true" outlineLevel="0" collapsed="false">
      <c r="A20" s="13" t="s">
        <v>55</v>
      </c>
      <c r="B20" s="19" t="n">
        <f aca="false">Operations!J9*Inputs!$B$17</f>
        <v>0</v>
      </c>
      <c r="C20" s="15" t="s">
        <v>56</v>
      </c>
      <c r="D20" s="15" t="s">
        <v>57</v>
      </c>
      <c r="E20" s="2"/>
      <c r="F20" s="2"/>
      <c r="G20" s="2"/>
      <c r="H20" s="2"/>
      <c r="I20" s="2"/>
      <c r="J20" s="2"/>
      <c r="K20" s="2"/>
    </row>
    <row r="21" customFormat="false" ht="15" hidden="false" customHeight="true" outlineLevel="0" collapsed="false">
      <c r="A21" s="13" t="s">
        <v>58</v>
      </c>
      <c r="B21" s="19" t="n">
        <f aca="false">Operations!J21*Inputs!$B$18</f>
        <v>125.825</v>
      </c>
      <c r="C21" s="15" t="s">
        <v>56</v>
      </c>
      <c r="D21" s="15" t="s">
        <v>39</v>
      </c>
      <c r="E21" s="2"/>
      <c r="F21" s="2"/>
      <c r="G21" s="2"/>
      <c r="H21" s="2"/>
      <c r="I21" s="2"/>
      <c r="J21" s="2"/>
      <c r="K21" s="2"/>
    </row>
    <row r="22" customFormat="false" ht="15" hidden="false" customHeight="true" outlineLevel="0" collapsed="false">
      <c r="A22" s="13" t="s">
        <v>59</v>
      </c>
      <c r="B22" s="19" t="n">
        <f aca="false">Operations!J28*Inputs!$B$19</f>
        <v>58.6685059626762</v>
      </c>
      <c r="C22" s="15" t="s">
        <v>56</v>
      </c>
      <c r="D22" s="15" t="s">
        <v>39</v>
      </c>
      <c r="E22" s="2"/>
      <c r="F22" s="2"/>
      <c r="G22" s="2"/>
      <c r="H22" s="2"/>
      <c r="I22" s="2"/>
      <c r="J22" s="2"/>
      <c r="K22" s="2"/>
    </row>
    <row r="23" customFormat="false" ht="15" hidden="false" customHeight="true" outlineLevel="0" collapsed="false">
      <c r="A23" s="13" t="s">
        <v>60</v>
      </c>
      <c r="B23" s="20" t="n">
        <v>10</v>
      </c>
      <c r="C23" s="15" t="s">
        <v>56</v>
      </c>
      <c r="D23" s="15" t="s">
        <v>61</v>
      </c>
      <c r="E23" s="2"/>
      <c r="F23" s="2"/>
      <c r="G23" s="2"/>
      <c r="H23" s="2"/>
      <c r="I23" s="2"/>
      <c r="J23" s="2"/>
      <c r="K23" s="2"/>
    </row>
    <row r="24" customFormat="false" ht="15" hidden="false" customHeight="true" outlineLevel="0" collapsed="false">
      <c r="A24" s="11" t="s">
        <v>62</v>
      </c>
      <c r="B24" s="12"/>
      <c r="C24" s="12"/>
      <c r="D24" s="12"/>
      <c r="E24" s="2"/>
      <c r="F24" s="2"/>
      <c r="G24" s="2"/>
      <c r="H24" s="2"/>
      <c r="I24" s="2"/>
      <c r="J24" s="2"/>
      <c r="K24" s="2"/>
    </row>
    <row r="25" customFormat="false" ht="15" hidden="false" customHeight="true" outlineLevel="0" collapsed="false">
      <c r="A25" s="6" t="s">
        <v>63</v>
      </c>
      <c r="B25" s="6" t="s">
        <v>64</v>
      </c>
      <c r="C25" s="6" t="s">
        <v>65</v>
      </c>
      <c r="D25" s="6" t="s">
        <v>66</v>
      </c>
      <c r="E25" s="2"/>
      <c r="F25" s="2"/>
      <c r="G25" s="2"/>
      <c r="H25" s="2"/>
      <c r="I25" s="2"/>
      <c r="J25" s="2"/>
      <c r="K25" s="2"/>
    </row>
    <row r="26" customFormat="false" ht="15" hidden="false" customHeight="true" outlineLevel="0" collapsed="false">
      <c r="A26" s="13" t="s">
        <v>67</v>
      </c>
      <c r="B26" s="20" t="n">
        <v>30</v>
      </c>
      <c r="C26" s="20" t="n">
        <v>100</v>
      </c>
      <c r="D26" s="20" t="n">
        <v>0</v>
      </c>
      <c r="E26" s="2"/>
      <c r="F26" s="2"/>
      <c r="G26" s="2"/>
      <c r="H26" s="2"/>
      <c r="I26" s="2"/>
      <c r="J26" s="2"/>
      <c r="K26" s="2"/>
    </row>
    <row r="27" customFormat="false" ht="15" hidden="false" customHeight="true" outlineLevel="0" collapsed="false">
      <c r="A27" s="13" t="s">
        <v>68</v>
      </c>
      <c r="B27" s="20" t="n">
        <v>0</v>
      </c>
      <c r="C27" s="20" t="n">
        <v>66.1</v>
      </c>
      <c r="D27" s="20" t="n">
        <v>53.9</v>
      </c>
      <c r="E27" s="2"/>
      <c r="F27" s="2"/>
      <c r="G27" s="2"/>
      <c r="H27" s="2"/>
      <c r="I27" s="2"/>
      <c r="J27" s="2"/>
      <c r="K27" s="2"/>
    </row>
    <row r="28" customFormat="false" ht="15" hidden="false" customHeight="true" outlineLevel="0" collapsed="false">
      <c r="A28" s="13" t="s">
        <v>69</v>
      </c>
      <c r="B28" s="20" t="n">
        <v>0</v>
      </c>
      <c r="C28" s="20" t="n">
        <v>44.2</v>
      </c>
      <c r="D28" s="20" t="n">
        <v>25.8</v>
      </c>
      <c r="E28" s="2"/>
      <c r="F28" s="2"/>
      <c r="G28" s="2"/>
      <c r="H28" s="2"/>
      <c r="I28" s="2"/>
      <c r="J28" s="2"/>
      <c r="K28" s="2"/>
    </row>
    <row r="29" customFormat="false" ht="15" hidden="false" customHeight="true" outlineLevel="0" collapsed="false">
      <c r="A29" s="13" t="s">
        <v>70</v>
      </c>
      <c r="B29" s="20" t="n">
        <v>2.7</v>
      </c>
      <c r="C29" s="20" t="n">
        <v>31.6</v>
      </c>
      <c r="D29" s="20" t="n">
        <v>30.8</v>
      </c>
      <c r="E29" s="2"/>
      <c r="F29" s="2"/>
      <c r="G29" s="2"/>
      <c r="H29" s="2"/>
      <c r="I29" s="2"/>
      <c r="J29" s="2"/>
      <c r="K29" s="2"/>
    </row>
    <row r="30" customFormat="false" ht="15" hidden="false" customHeight="true" outlineLevel="0" collapsed="false">
      <c r="A30" s="13" t="s">
        <v>71</v>
      </c>
      <c r="B30" s="20" t="n">
        <v>0</v>
      </c>
      <c r="C30" s="20" t="n">
        <v>0</v>
      </c>
      <c r="D30" s="20" t="n">
        <v>50</v>
      </c>
      <c r="E30" s="2"/>
      <c r="F30" s="2"/>
      <c r="G30" s="2"/>
      <c r="H30" s="2"/>
      <c r="I30" s="2"/>
      <c r="J30" s="2"/>
      <c r="K30" s="2"/>
    </row>
    <row r="31" customFormat="false" ht="15" hidden="false" customHeight="true" outlineLevel="0" collapsed="false">
      <c r="A31" s="13" t="s">
        <v>72</v>
      </c>
      <c r="B31" s="20" t="n">
        <v>0</v>
      </c>
      <c r="C31" s="20" t="n">
        <v>21.8</v>
      </c>
      <c r="D31" s="20" t="n">
        <v>38.2</v>
      </c>
      <c r="E31" s="2"/>
      <c r="F31" s="2"/>
      <c r="G31" s="2"/>
      <c r="H31" s="2"/>
      <c r="I31" s="2"/>
      <c r="J31" s="2"/>
      <c r="K31" s="2"/>
    </row>
    <row r="32" customFormat="false" ht="15" hidden="false" customHeight="true" outlineLevel="0" collapsed="false">
      <c r="A32" s="13" t="s">
        <v>73</v>
      </c>
      <c r="B32" s="20" t="n">
        <v>1.3</v>
      </c>
      <c r="C32" s="20" t="n">
        <v>7.4</v>
      </c>
      <c r="D32" s="20" t="n">
        <v>2.3</v>
      </c>
      <c r="E32" s="2"/>
      <c r="F32" s="2"/>
      <c r="G32" s="2"/>
      <c r="H32" s="2"/>
      <c r="I32" s="2"/>
      <c r="J32" s="2"/>
      <c r="K32" s="2"/>
    </row>
    <row r="33" customFormat="false" ht="15" hidden="false" customHeight="true" outlineLevel="0" collapsed="false">
      <c r="A33" s="13" t="s">
        <v>74</v>
      </c>
      <c r="B33" s="20" t="n">
        <v>0.8</v>
      </c>
      <c r="C33" s="20" t="n">
        <v>2</v>
      </c>
      <c r="D33" s="20" t="n">
        <v>1.2</v>
      </c>
      <c r="E33" s="2"/>
      <c r="F33" s="2"/>
      <c r="G33" s="2"/>
      <c r="H33" s="2"/>
      <c r="I33" s="2"/>
      <c r="J33" s="2"/>
      <c r="K33" s="2"/>
    </row>
    <row r="34" customFormat="false" ht="15" hidden="false" customHeight="true" outlineLevel="0" collapsed="false">
      <c r="A34" s="13" t="s">
        <v>75</v>
      </c>
      <c r="B34" s="20" t="n">
        <v>11.8</v>
      </c>
      <c r="C34" s="20" t="n">
        <v>3.2</v>
      </c>
      <c r="D34" s="20" t="n">
        <v>0</v>
      </c>
      <c r="E34" s="2"/>
      <c r="F34" s="2"/>
      <c r="G34" s="2"/>
      <c r="H34" s="2"/>
      <c r="I34" s="2"/>
      <c r="J34" s="2"/>
      <c r="K34" s="2"/>
    </row>
    <row r="35" customFormat="false" ht="15" hidden="false" customHeight="true" outlineLevel="0" collapsed="false">
      <c r="A35" s="13" t="s">
        <v>76</v>
      </c>
      <c r="B35" s="20" t="n">
        <v>1.7</v>
      </c>
      <c r="C35" s="20" t="n">
        <v>4</v>
      </c>
      <c r="D35" s="20" t="n">
        <v>2.3</v>
      </c>
      <c r="E35" s="2"/>
      <c r="F35" s="2"/>
      <c r="G35" s="2"/>
      <c r="H35" s="2"/>
      <c r="I35" s="2"/>
      <c r="J35" s="2"/>
      <c r="K35" s="2"/>
    </row>
    <row r="36" customFormat="false" ht="15" hidden="false" customHeight="true" outlineLevel="0" collapsed="false">
      <c r="A36" s="13" t="s">
        <v>77</v>
      </c>
      <c r="B36" s="20" t="n">
        <v>4.2</v>
      </c>
      <c r="C36" s="20" t="n">
        <v>0.8</v>
      </c>
      <c r="D36" s="20" t="n">
        <v>0</v>
      </c>
      <c r="E36" s="2"/>
      <c r="F36" s="2"/>
      <c r="G36" s="2"/>
      <c r="H36" s="2"/>
      <c r="I36" s="2"/>
      <c r="J36" s="2"/>
      <c r="K36" s="2"/>
    </row>
    <row r="37" customFormat="false" ht="15" hidden="false" customHeight="true" outlineLevel="0" collapsed="false">
      <c r="A37" s="13" t="s">
        <v>78</v>
      </c>
      <c r="B37" s="20" t="n">
        <v>0</v>
      </c>
      <c r="C37" s="20" t="n">
        <v>0.8</v>
      </c>
      <c r="D37" s="20" t="n">
        <v>6.2</v>
      </c>
      <c r="E37" s="2"/>
      <c r="F37" s="2"/>
      <c r="G37" s="2"/>
      <c r="H37" s="2"/>
      <c r="I37" s="2"/>
      <c r="J37" s="2"/>
      <c r="K37" s="2"/>
    </row>
    <row r="38" customFormat="false" ht="15" hidden="false" customHeight="true" outlineLevel="0" collapsed="false">
      <c r="A38" s="13" t="s">
        <v>79</v>
      </c>
      <c r="B38" s="20" t="n">
        <v>0.9</v>
      </c>
      <c r="C38" s="20" t="n">
        <v>2.2</v>
      </c>
      <c r="D38" s="20" t="n">
        <v>1.9</v>
      </c>
      <c r="E38" s="2"/>
      <c r="F38" s="2"/>
      <c r="G38" s="2"/>
      <c r="H38" s="2"/>
      <c r="I38" s="2"/>
      <c r="J38" s="2"/>
      <c r="K38" s="2"/>
    </row>
    <row r="39" customFormat="false" ht="15" hidden="false" customHeight="true" outlineLevel="0" collapsed="false">
      <c r="A39" s="6" t="s">
        <v>80</v>
      </c>
      <c r="B39" s="21" t="n">
        <f aca="false">SUM(B26:B38)</f>
        <v>53.4</v>
      </c>
      <c r="C39" s="21" t="n">
        <f aca="false">SUM(C26:C38)</f>
        <v>284.1</v>
      </c>
      <c r="D39" s="21" t="n">
        <f aca="false">SUM(D26:D38)</f>
        <v>212.6</v>
      </c>
      <c r="E39" s="21" t="n">
        <f aca="false">SUM(B39:D39)</f>
        <v>550.1</v>
      </c>
      <c r="F39" s="15" t="s">
        <v>81</v>
      </c>
      <c r="G39" s="2"/>
      <c r="H39" s="2"/>
      <c r="I39" s="2"/>
      <c r="J39" s="2"/>
      <c r="K39" s="2"/>
    </row>
    <row r="40" customFormat="false" ht="15" hidden="false" customHeight="true" outlineLevel="0" collapsed="false">
      <c r="A40" s="13" t="s">
        <v>82</v>
      </c>
      <c r="B40" s="20" t="n">
        <v>71.7</v>
      </c>
      <c r="C40" s="15" t="s">
        <v>56</v>
      </c>
      <c r="D40" s="15" t="s">
        <v>83</v>
      </c>
      <c r="E40" s="2"/>
      <c r="F40" s="2"/>
      <c r="G40" s="2"/>
      <c r="H40" s="2"/>
      <c r="I40" s="2"/>
      <c r="J40" s="2"/>
      <c r="K40" s="2"/>
    </row>
    <row r="41" customFormat="false" ht="15" hidden="false" customHeight="true" outlineLevel="0" collapsed="false">
      <c r="A41" s="11" t="s">
        <v>84</v>
      </c>
      <c r="B41" s="12"/>
      <c r="C41" s="12"/>
      <c r="D41" s="12"/>
      <c r="E41" s="2"/>
      <c r="F41" s="2"/>
      <c r="G41" s="2"/>
      <c r="H41" s="2"/>
      <c r="I41" s="2"/>
      <c r="J41" s="2"/>
      <c r="K41" s="2"/>
    </row>
    <row r="42" customFormat="false" ht="15" hidden="false" customHeight="true" outlineLevel="0" collapsed="false">
      <c r="A42" s="13" t="s">
        <v>85</v>
      </c>
      <c r="B42" s="20" t="n">
        <v>36.4</v>
      </c>
      <c r="C42" s="15" t="s">
        <v>56</v>
      </c>
      <c r="D42" s="15" t="s">
        <v>86</v>
      </c>
      <c r="E42" s="2"/>
      <c r="F42" s="2"/>
      <c r="G42" s="2"/>
      <c r="H42" s="2"/>
      <c r="I42" s="2"/>
      <c r="J42" s="2"/>
      <c r="K42" s="2"/>
    </row>
    <row r="43" customFormat="false" ht="15" hidden="false" customHeight="true" outlineLevel="0" collapsed="false">
      <c r="A43" s="13" t="s">
        <v>87</v>
      </c>
      <c r="B43" s="17" t="n">
        <v>0.5</v>
      </c>
      <c r="C43" s="15" t="s">
        <v>36</v>
      </c>
      <c r="D43" s="15" t="s">
        <v>88</v>
      </c>
      <c r="E43" s="2"/>
      <c r="F43" s="2"/>
      <c r="G43" s="2"/>
      <c r="H43" s="2"/>
      <c r="I43" s="2"/>
      <c r="J43" s="2"/>
      <c r="K43" s="2"/>
    </row>
    <row r="44" customFormat="false" ht="15" hidden="false" customHeight="true" outlineLevel="0" collapsed="false">
      <c r="A44" s="13" t="s">
        <v>89</v>
      </c>
      <c r="B44" s="17" t="n">
        <v>0.136</v>
      </c>
      <c r="C44" s="15" t="s">
        <v>36</v>
      </c>
      <c r="D44" s="15" t="s">
        <v>90</v>
      </c>
      <c r="E44" s="2"/>
      <c r="F44" s="2"/>
      <c r="G44" s="2"/>
      <c r="H44" s="2"/>
      <c r="I44" s="2"/>
      <c r="J44" s="2"/>
      <c r="K44" s="2"/>
    </row>
    <row r="45" customFormat="false" ht="15" hidden="false" customHeight="true" outlineLevel="0" collapsed="false">
      <c r="A45" s="13" t="s">
        <v>91</v>
      </c>
      <c r="B45" s="20" t="n">
        <v>39.66</v>
      </c>
      <c r="C45" s="15" t="s">
        <v>56</v>
      </c>
      <c r="D45" s="15" t="s">
        <v>92</v>
      </c>
      <c r="E45" s="2"/>
      <c r="F45" s="2"/>
      <c r="G45" s="2"/>
      <c r="H45" s="2"/>
      <c r="I45" s="2"/>
      <c r="J45" s="2"/>
      <c r="K45" s="2"/>
    </row>
    <row r="46" customFormat="false" ht="15" hidden="false" customHeight="true" outlineLevel="0" collapsed="false">
      <c r="A46" s="13" t="s">
        <v>87</v>
      </c>
      <c r="B46" s="17" t="n">
        <v>0.5</v>
      </c>
      <c r="C46" s="15" t="s">
        <v>36</v>
      </c>
      <c r="D46" s="15" t="s">
        <v>88</v>
      </c>
      <c r="E46" s="2"/>
      <c r="F46" s="2"/>
      <c r="G46" s="2"/>
      <c r="H46" s="2"/>
      <c r="I46" s="2"/>
      <c r="J46" s="2"/>
      <c r="K46" s="2"/>
    </row>
    <row r="47" customFormat="false" ht="15" hidden="false" customHeight="true" outlineLevel="0" collapsed="false">
      <c r="A47" s="13" t="s">
        <v>93</v>
      </c>
      <c r="B47" s="17" t="n">
        <v>0.5</v>
      </c>
      <c r="C47" s="15" t="s">
        <v>36</v>
      </c>
      <c r="D47" s="15" t="s">
        <v>94</v>
      </c>
      <c r="E47" s="2"/>
      <c r="F47" s="2"/>
      <c r="G47" s="2"/>
      <c r="H47" s="2"/>
      <c r="I47" s="2"/>
      <c r="J47" s="2"/>
      <c r="K47" s="2"/>
    </row>
    <row r="48" customFormat="false" ht="15" hidden="false" customHeight="true" outlineLevel="0" collapsed="false">
      <c r="A48" s="13" t="s">
        <v>95</v>
      </c>
      <c r="B48" s="20" t="n">
        <v>15</v>
      </c>
      <c r="C48" s="15" t="s">
        <v>56</v>
      </c>
      <c r="D48" s="15" t="s">
        <v>96</v>
      </c>
      <c r="E48" s="2"/>
      <c r="F48" s="2"/>
      <c r="G48" s="2"/>
      <c r="H48" s="2"/>
      <c r="I48" s="2"/>
      <c r="J48" s="2"/>
      <c r="K48" s="2"/>
    </row>
    <row r="49" customFormat="false" ht="15" hidden="false" customHeight="true" outlineLevel="0" collapsed="false">
      <c r="A49" s="13" t="s">
        <v>97</v>
      </c>
      <c r="B49" s="17" t="n">
        <v>0.3333</v>
      </c>
      <c r="C49" s="15" t="s">
        <v>36</v>
      </c>
      <c r="D49" s="15" t="s">
        <v>98</v>
      </c>
      <c r="E49" s="2"/>
      <c r="F49" s="2"/>
      <c r="G49" s="2"/>
      <c r="H49" s="2"/>
      <c r="I49" s="2"/>
      <c r="J49" s="2"/>
      <c r="K49" s="2"/>
    </row>
    <row r="50" customFormat="false" ht="15" hidden="false" customHeight="true" outlineLevel="0" collapsed="false">
      <c r="A50" s="11" t="s">
        <v>99</v>
      </c>
      <c r="B50" s="12"/>
      <c r="C50" s="12"/>
      <c r="D50" s="12"/>
      <c r="E50" s="2"/>
      <c r="F50" s="2"/>
      <c r="G50" s="2"/>
      <c r="H50" s="2"/>
      <c r="I50" s="2"/>
      <c r="J50" s="2"/>
      <c r="K50" s="2"/>
    </row>
    <row r="51" customFormat="false" ht="15" hidden="false" customHeight="true" outlineLevel="0" collapsed="false">
      <c r="A51" s="13" t="s">
        <v>100</v>
      </c>
      <c r="B51" s="22" t="n">
        <v>2028</v>
      </c>
      <c r="C51" s="15" t="s">
        <v>101</v>
      </c>
      <c r="D51" s="15" t="s">
        <v>102</v>
      </c>
      <c r="E51" s="2"/>
      <c r="F51" s="2"/>
      <c r="G51" s="2"/>
      <c r="H51" s="2"/>
      <c r="I51" s="2"/>
      <c r="J51" s="2"/>
      <c r="K51" s="2"/>
    </row>
    <row r="52" customFormat="false" ht="15" hidden="false" customHeight="true" outlineLevel="0" collapsed="false">
      <c r="A52" s="13" t="s">
        <v>103</v>
      </c>
      <c r="B52" s="17" t="n">
        <v>0.25</v>
      </c>
      <c r="C52" s="15" t="s">
        <v>36</v>
      </c>
      <c r="D52" s="15" t="s">
        <v>104</v>
      </c>
      <c r="E52" s="2"/>
      <c r="F52" s="2"/>
      <c r="G52" s="2"/>
      <c r="H52" s="2"/>
      <c r="I52" s="2"/>
      <c r="J52" s="2"/>
      <c r="K52" s="2"/>
    </row>
    <row r="53" customFormat="false" ht="15" hidden="false" customHeight="true" outlineLevel="0" collapsed="false">
      <c r="A53" s="13" t="s">
        <v>105</v>
      </c>
      <c r="B53" s="22" t="n">
        <v>2029</v>
      </c>
      <c r="C53" s="15" t="s">
        <v>101</v>
      </c>
      <c r="D53" s="15" t="s">
        <v>106</v>
      </c>
      <c r="E53" s="2"/>
      <c r="F53" s="2"/>
      <c r="G53" s="2"/>
      <c r="H53" s="2"/>
      <c r="I53" s="2"/>
      <c r="J53" s="2"/>
      <c r="K53" s="2"/>
    </row>
    <row r="54" customFormat="false" ht="15" hidden="false" customHeight="true" outlineLevel="0" collapsed="false">
      <c r="A54" s="13" t="s">
        <v>107</v>
      </c>
      <c r="B54" s="17" t="n">
        <v>0.5</v>
      </c>
      <c r="C54" s="15" t="s">
        <v>36</v>
      </c>
      <c r="D54" s="15" t="s">
        <v>108</v>
      </c>
      <c r="E54" s="2"/>
      <c r="F54" s="2"/>
      <c r="G54" s="2"/>
      <c r="H54" s="2"/>
      <c r="I54" s="2"/>
      <c r="J54" s="2"/>
      <c r="K54" s="2"/>
    </row>
    <row r="55" customFormat="false" ht="15" hidden="false" customHeight="true" outlineLevel="0" collapsed="false">
      <c r="A55" s="13" t="s">
        <v>109</v>
      </c>
      <c r="B55" s="22" t="n">
        <v>2074</v>
      </c>
      <c r="C55" s="15" t="s">
        <v>101</v>
      </c>
      <c r="D55" s="15" t="s">
        <v>110</v>
      </c>
      <c r="E55" s="2"/>
      <c r="F55" s="2"/>
      <c r="G55" s="2"/>
      <c r="H55" s="2"/>
      <c r="I55" s="2"/>
      <c r="J55" s="2"/>
      <c r="K55" s="2"/>
    </row>
    <row r="56" customFormat="false" ht="15" hidden="false" customHeight="true" outlineLevel="0" collapsed="false">
      <c r="A56" s="11" t="s">
        <v>111</v>
      </c>
      <c r="B56" s="12"/>
      <c r="C56" s="12"/>
      <c r="D56" s="12"/>
      <c r="E56" s="2"/>
      <c r="F56" s="2"/>
      <c r="G56" s="2"/>
      <c r="H56" s="2"/>
      <c r="I56" s="2"/>
      <c r="J56" s="2"/>
      <c r="K56" s="2"/>
    </row>
    <row r="57" customFormat="false" ht="15" hidden="false" customHeight="true" outlineLevel="0" collapsed="false">
      <c r="A57" s="13" t="s">
        <v>112</v>
      </c>
      <c r="B57" s="23" t="n">
        <v>600</v>
      </c>
      <c r="C57" s="15" t="s">
        <v>113</v>
      </c>
      <c r="D57" s="15" t="s">
        <v>114</v>
      </c>
      <c r="E57" s="2"/>
      <c r="F57" s="2"/>
      <c r="G57" s="2"/>
      <c r="H57" s="2"/>
      <c r="I57" s="2"/>
      <c r="J57" s="2"/>
      <c r="K57" s="2"/>
    </row>
    <row r="58" customFormat="false" ht="15" hidden="false" customHeight="true" outlineLevel="0" collapsed="false">
      <c r="A58" s="13" t="s">
        <v>115</v>
      </c>
      <c r="B58" s="23" t="n">
        <v>4</v>
      </c>
      <c r="C58" s="15" t="s">
        <v>116</v>
      </c>
      <c r="D58" s="15" t="s">
        <v>117</v>
      </c>
      <c r="E58" s="2"/>
      <c r="F58" s="2"/>
      <c r="G58" s="2"/>
      <c r="H58" s="2"/>
      <c r="I58" s="2"/>
      <c r="J58" s="2"/>
      <c r="K58" s="2"/>
    </row>
    <row r="59" customFormat="false" ht="15" hidden="false" customHeight="true" outlineLevel="0" collapsed="false">
      <c r="A59" s="13" t="s">
        <v>118</v>
      </c>
      <c r="B59" s="23" t="n">
        <v>850</v>
      </c>
      <c r="C59" s="15" t="s">
        <v>119</v>
      </c>
      <c r="D59" s="15" t="s">
        <v>117</v>
      </c>
      <c r="E59" s="2"/>
      <c r="F59" s="2"/>
      <c r="G59" s="2"/>
      <c r="H59" s="2"/>
      <c r="I59" s="2"/>
      <c r="J59" s="2"/>
      <c r="K59" s="2"/>
    </row>
    <row r="60" customFormat="false" ht="15" hidden="false" customHeight="true" outlineLevel="0" collapsed="false">
      <c r="A60" s="13" t="s">
        <v>120</v>
      </c>
      <c r="B60" s="23" t="n">
        <v>450</v>
      </c>
      <c r="C60" s="15" t="s">
        <v>119</v>
      </c>
      <c r="D60" s="15" t="s">
        <v>117</v>
      </c>
      <c r="E60" s="2"/>
      <c r="F60" s="2"/>
      <c r="G60" s="2"/>
      <c r="H60" s="2"/>
      <c r="I60" s="2"/>
      <c r="J60" s="2"/>
      <c r="K60" s="2"/>
    </row>
    <row r="61" customFormat="false" ht="15" hidden="false" customHeight="true" outlineLevel="0" collapsed="false">
      <c r="A61" s="13" t="s">
        <v>121</v>
      </c>
      <c r="B61" s="17" t="n">
        <v>0.85</v>
      </c>
      <c r="C61" s="15" t="s">
        <v>36</v>
      </c>
      <c r="D61" s="15" t="s">
        <v>117</v>
      </c>
      <c r="E61" s="2"/>
      <c r="F61" s="2"/>
      <c r="G61" s="2"/>
      <c r="H61" s="2"/>
      <c r="I61" s="2"/>
      <c r="J61" s="2"/>
      <c r="K61" s="2"/>
    </row>
    <row r="62" customFormat="false" ht="15" hidden="false" customHeight="true" outlineLevel="0" collapsed="false">
      <c r="A62" s="13" t="s">
        <v>122</v>
      </c>
      <c r="B62" s="17" t="n">
        <v>0.5</v>
      </c>
      <c r="C62" s="15" t="s">
        <v>36</v>
      </c>
      <c r="D62" s="15" t="s">
        <v>117</v>
      </c>
      <c r="E62" s="2"/>
      <c r="F62" s="2"/>
      <c r="G62" s="2"/>
      <c r="H62" s="2"/>
      <c r="I62" s="2"/>
      <c r="J62" s="2"/>
      <c r="K62" s="2"/>
    </row>
    <row r="63" customFormat="false" ht="15" hidden="false" customHeight="true" outlineLevel="0" collapsed="false">
      <c r="A63" s="13" t="s">
        <v>123</v>
      </c>
      <c r="B63" s="17" t="n">
        <v>0.834</v>
      </c>
      <c r="C63" s="15" t="s">
        <v>36</v>
      </c>
      <c r="D63" s="15" t="s">
        <v>124</v>
      </c>
      <c r="E63" s="2"/>
      <c r="F63" s="2"/>
      <c r="G63" s="2"/>
      <c r="H63" s="2"/>
      <c r="I63" s="2"/>
      <c r="J63" s="2"/>
      <c r="K63" s="2"/>
    </row>
    <row r="64" customFormat="false" ht="15" hidden="false" customHeight="true" outlineLevel="0" collapsed="false">
      <c r="A64" s="13" t="s">
        <v>125</v>
      </c>
      <c r="B64" s="17" t="n">
        <v>0.0221</v>
      </c>
      <c r="C64" s="15" t="s">
        <v>36</v>
      </c>
      <c r="D64" s="15" t="s">
        <v>126</v>
      </c>
      <c r="E64" s="2"/>
      <c r="F64" s="2"/>
      <c r="G64" s="2"/>
      <c r="H64" s="2"/>
      <c r="I64" s="2"/>
      <c r="J64" s="2"/>
      <c r="K64" s="2"/>
    </row>
    <row r="65" customFormat="false" ht="15" hidden="false" customHeight="true" outlineLevel="0" collapsed="false">
      <c r="A65" s="13" t="s">
        <v>127</v>
      </c>
      <c r="B65" s="17" t="n">
        <v>0.905</v>
      </c>
      <c r="C65" s="15" t="s">
        <v>36</v>
      </c>
      <c r="D65" s="15" t="s">
        <v>128</v>
      </c>
      <c r="E65" s="2"/>
      <c r="F65" s="2"/>
      <c r="G65" s="2"/>
      <c r="H65" s="2"/>
      <c r="I65" s="2"/>
      <c r="J65" s="2"/>
      <c r="K65" s="2"/>
    </row>
    <row r="66" customFormat="false" ht="15" hidden="false" customHeight="true" outlineLevel="0" collapsed="false">
      <c r="A66" s="13" t="s">
        <v>129</v>
      </c>
      <c r="B66" s="17" t="n">
        <v>0.952</v>
      </c>
      <c r="C66" s="15" t="s">
        <v>36</v>
      </c>
      <c r="D66" s="15" t="s">
        <v>130</v>
      </c>
      <c r="E66" s="2"/>
      <c r="F66" s="2"/>
      <c r="G66" s="2"/>
      <c r="H66" s="2"/>
      <c r="I66" s="2"/>
      <c r="J66" s="2"/>
      <c r="K66" s="2"/>
    </row>
    <row r="67" customFormat="false" ht="15" hidden="false" customHeight="true" outlineLevel="0" collapsed="false">
      <c r="A67" s="13" t="s">
        <v>131</v>
      </c>
      <c r="B67" s="17" t="n">
        <v>0.442</v>
      </c>
      <c r="C67" s="15" t="s">
        <v>36</v>
      </c>
      <c r="D67" s="15" t="s">
        <v>132</v>
      </c>
      <c r="E67" s="2"/>
      <c r="F67" s="2"/>
      <c r="G67" s="2"/>
      <c r="H67" s="2"/>
      <c r="I67" s="2"/>
      <c r="J67" s="2"/>
      <c r="K67" s="2"/>
    </row>
    <row r="68" customFormat="false" ht="15" hidden="false" customHeight="true" outlineLevel="0" collapsed="false">
      <c r="A68" s="13" t="s">
        <v>133</v>
      </c>
      <c r="B68" s="17" t="n">
        <v>0.461</v>
      </c>
      <c r="C68" s="15" t="s">
        <v>36</v>
      </c>
      <c r="D68" s="15" t="s">
        <v>132</v>
      </c>
      <c r="E68" s="2"/>
      <c r="F68" s="2"/>
      <c r="G68" s="2"/>
      <c r="H68" s="2"/>
      <c r="I68" s="2"/>
      <c r="J68" s="2"/>
      <c r="K68" s="2"/>
    </row>
    <row r="69" customFormat="false" ht="15" hidden="false" customHeight="true" outlineLevel="0" collapsed="false">
      <c r="A69" s="13" t="s">
        <v>134</v>
      </c>
      <c r="B69" s="17" t="n">
        <v>0.474</v>
      </c>
      <c r="C69" s="15" t="s">
        <v>36</v>
      </c>
      <c r="D69" s="15" t="s">
        <v>132</v>
      </c>
      <c r="E69" s="2"/>
      <c r="F69" s="2"/>
      <c r="G69" s="2"/>
      <c r="H69" s="2"/>
      <c r="I69" s="2"/>
      <c r="J69" s="2"/>
      <c r="K69" s="2"/>
    </row>
    <row r="70" customFormat="false" ht="15" hidden="false" customHeight="true" outlineLevel="0" collapsed="false">
      <c r="A70" s="13" t="s">
        <v>135</v>
      </c>
      <c r="B70" s="17" t="n">
        <v>0.03</v>
      </c>
      <c r="C70" s="15" t="s">
        <v>36</v>
      </c>
      <c r="D70" s="15" t="s">
        <v>136</v>
      </c>
      <c r="E70" s="2"/>
      <c r="F70" s="2"/>
      <c r="G70" s="2"/>
      <c r="H70" s="2"/>
      <c r="I70" s="2"/>
      <c r="J70" s="2"/>
      <c r="K70" s="2"/>
    </row>
    <row r="71" customFormat="false" ht="15" hidden="false" customHeight="true" outlineLevel="0" collapsed="false">
      <c r="A71" s="13" t="s">
        <v>137</v>
      </c>
      <c r="B71" s="17" t="n">
        <v>0.08</v>
      </c>
      <c r="C71" s="15" t="s">
        <v>36</v>
      </c>
      <c r="D71" s="15" t="s">
        <v>136</v>
      </c>
      <c r="E71" s="2"/>
      <c r="F71" s="2"/>
      <c r="G71" s="2"/>
      <c r="H71" s="2"/>
      <c r="I71" s="2"/>
      <c r="J71" s="2"/>
      <c r="K71" s="2"/>
    </row>
    <row r="72" customFormat="false" ht="15" hidden="false" customHeight="true" outlineLevel="0" collapsed="false">
      <c r="A72" s="13" t="s">
        <v>138</v>
      </c>
      <c r="B72" s="17" t="n">
        <v>0.04</v>
      </c>
      <c r="C72" s="15" t="s">
        <v>36</v>
      </c>
      <c r="D72" s="15" t="s">
        <v>136</v>
      </c>
      <c r="E72" s="2"/>
      <c r="F72" s="2"/>
      <c r="G72" s="2"/>
      <c r="H72" s="2"/>
      <c r="I72" s="2"/>
      <c r="J72" s="2"/>
      <c r="K72" s="2"/>
    </row>
    <row r="73" customFormat="false" ht="15" hidden="false" customHeight="true" outlineLevel="0" collapsed="false">
      <c r="A73" s="11" t="s">
        <v>139</v>
      </c>
      <c r="B73" s="12"/>
      <c r="C73" s="12"/>
      <c r="D73" s="12"/>
      <c r="E73" s="2"/>
      <c r="F73" s="2"/>
      <c r="G73" s="2"/>
      <c r="H73" s="2"/>
      <c r="I73" s="2"/>
      <c r="J73" s="2"/>
      <c r="K73" s="2"/>
    </row>
    <row r="74" customFormat="false" ht="15" hidden="false" customHeight="true" outlineLevel="0" collapsed="false">
      <c r="A74" s="13" t="s">
        <v>140</v>
      </c>
      <c r="B74" s="20" t="n">
        <v>78.93</v>
      </c>
      <c r="C74" s="15" t="s">
        <v>56</v>
      </c>
      <c r="D74" s="15" t="s">
        <v>141</v>
      </c>
      <c r="E74" s="2"/>
      <c r="F74" s="2"/>
      <c r="G74" s="2"/>
      <c r="H74" s="2"/>
      <c r="I74" s="2"/>
      <c r="J74" s="2"/>
      <c r="K74" s="2"/>
    </row>
    <row r="75" customFormat="false" ht="15" hidden="false" customHeight="true" outlineLevel="0" collapsed="false">
      <c r="A75" s="13" t="s">
        <v>142</v>
      </c>
      <c r="B75" s="20" t="n">
        <v>86.54</v>
      </c>
      <c r="C75" s="15" t="s">
        <v>56</v>
      </c>
      <c r="D75" s="15" t="s">
        <v>141</v>
      </c>
      <c r="E75" s="2"/>
      <c r="F75" s="2"/>
      <c r="G75" s="2"/>
      <c r="H75" s="2"/>
      <c r="I75" s="2"/>
      <c r="J75" s="2"/>
      <c r="K75" s="2"/>
    </row>
    <row r="76" customFormat="false" ht="15" hidden="false" customHeight="true" outlineLevel="0" collapsed="false">
      <c r="A76" s="13" t="s">
        <v>143</v>
      </c>
      <c r="B76" s="20" t="n">
        <v>90.42</v>
      </c>
      <c r="C76" s="15" t="s">
        <v>56</v>
      </c>
      <c r="D76" s="15" t="s">
        <v>141</v>
      </c>
      <c r="E76" s="2"/>
      <c r="F76" s="2"/>
      <c r="G76" s="2"/>
      <c r="H76" s="2"/>
      <c r="I76" s="2"/>
      <c r="J76" s="2"/>
      <c r="K76" s="2"/>
    </row>
    <row r="77" customFormat="false" ht="15" hidden="false" customHeight="true" outlineLevel="0" collapsed="false">
      <c r="A77" s="13" t="s">
        <v>144</v>
      </c>
      <c r="B77" s="20" t="n">
        <v>94.34</v>
      </c>
      <c r="C77" s="15" t="s">
        <v>56</v>
      </c>
      <c r="D77" s="15" t="s">
        <v>141</v>
      </c>
      <c r="E77" s="2"/>
      <c r="F77" s="2"/>
      <c r="G77" s="2"/>
      <c r="H77" s="2"/>
      <c r="I77" s="2"/>
      <c r="J77" s="2"/>
      <c r="K77" s="2"/>
    </row>
    <row r="78" customFormat="false" ht="15" hidden="false" customHeight="true" outlineLevel="0" collapsed="false">
      <c r="A78" s="13" t="s">
        <v>145</v>
      </c>
      <c r="B78" s="20" t="n">
        <v>104.9</v>
      </c>
      <c r="C78" s="15" t="s">
        <v>56</v>
      </c>
      <c r="D78" s="15" t="s">
        <v>141</v>
      </c>
      <c r="E78" s="2"/>
      <c r="F78" s="2"/>
      <c r="G78" s="2"/>
      <c r="H78" s="2"/>
      <c r="I78" s="2"/>
      <c r="J78" s="2"/>
      <c r="K78" s="2"/>
    </row>
    <row r="79" customFormat="false" ht="15" hidden="false" customHeight="true" outlineLevel="0" collapsed="false">
      <c r="A79" s="13" t="s">
        <v>146</v>
      </c>
      <c r="B79" s="20" t="n">
        <v>111.25</v>
      </c>
      <c r="C79" s="15" t="s">
        <v>56</v>
      </c>
      <c r="D79" s="15" t="s">
        <v>141</v>
      </c>
      <c r="E79" s="2"/>
      <c r="F79" s="2"/>
      <c r="G79" s="2"/>
      <c r="H79" s="2"/>
      <c r="I79" s="2"/>
      <c r="J79" s="2"/>
      <c r="K79" s="2"/>
    </row>
    <row r="80" customFormat="false" ht="15" hidden="false" customHeight="true" outlineLevel="0" collapsed="false">
      <c r="A80" s="13" t="s">
        <v>147</v>
      </c>
      <c r="B80" s="20" t="n">
        <v>118.05</v>
      </c>
      <c r="C80" s="15" t="s">
        <v>56</v>
      </c>
      <c r="D80" s="15" t="s">
        <v>141</v>
      </c>
      <c r="E80" s="2"/>
      <c r="F80" s="2"/>
      <c r="G80" s="2"/>
      <c r="H80" s="2"/>
      <c r="I80" s="2"/>
      <c r="J80" s="2"/>
      <c r="K80" s="2"/>
    </row>
    <row r="81" customFormat="false" ht="15" hidden="false" customHeight="true" outlineLevel="0" collapsed="false">
      <c r="A81" s="13" t="s">
        <v>148</v>
      </c>
      <c r="B81" s="20" t="n">
        <v>131.42</v>
      </c>
      <c r="C81" s="15" t="s">
        <v>56</v>
      </c>
      <c r="D81" s="15" t="s">
        <v>141</v>
      </c>
      <c r="E81" s="2"/>
      <c r="F81" s="2"/>
      <c r="G81" s="2"/>
      <c r="H81" s="2"/>
      <c r="I81" s="2"/>
      <c r="J81" s="2"/>
      <c r="K81" s="2"/>
    </row>
    <row r="82" customFormat="false" ht="15" hidden="false" customHeight="true" outlineLevel="0" collapsed="false">
      <c r="A82" s="13" t="s">
        <v>149</v>
      </c>
      <c r="B82" s="20" t="n">
        <v>138.21</v>
      </c>
      <c r="C82" s="15" t="s">
        <v>56</v>
      </c>
      <c r="D82" s="15" t="s">
        <v>141</v>
      </c>
      <c r="E82" s="2"/>
      <c r="F82" s="2"/>
      <c r="G82" s="2"/>
      <c r="H82" s="2"/>
      <c r="I82" s="2"/>
      <c r="J82" s="2"/>
      <c r="K82" s="2"/>
    </row>
    <row r="83" customFormat="false" ht="15" hidden="false" customHeight="true" outlineLevel="0" collapsed="false">
      <c r="A83" s="13" t="s">
        <v>150</v>
      </c>
      <c r="B83" s="20" t="n">
        <v>145.38</v>
      </c>
      <c r="C83" s="15" t="s">
        <v>56</v>
      </c>
      <c r="D83" s="15" t="s">
        <v>141</v>
      </c>
      <c r="E83" s="2"/>
      <c r="F83" s="2"/>
      <c r="G83" s="2"/>
      <c r="H83" s="2"/>
      <c r="I83" s="2"/>
      <c r="J83" s="2"/>
      <c r="K83" s="2"/>
    </row>
    <row r="84" customFormat="false" ht="15" hidden="false" customHeight="true" outlineLevel="0" collapsed="false">
      <c r="A84" s="13" t="s">
        <v>151</v>
      </c>
      <c r="B84" s="20" t="n">
        <v>159.79</v>
      </c>
      <c r="C84" s="15" t="s">
        <v>56</v>
      </c>
      <c r="D84" s="15" t="s">
        <v>141</v>
      </c>
      <c r="E84" s="2"/>
      <c r="F84" s="2"/>
      <c r="G84" s="2"/>
      <c r="H84" s="2"/>
      <c r="I84" s="2"/>
      <c r="J84" s="2"/>
      <c r="K84" s="2"/>
    </row>
    <row r="85" customFormat="false" ht="15" hidden="false" customHeight="true" outlineLevel="0" collapsed="false">
      <c r="A85" s="13" t="s">
        <v>152</v>
      </c>
      <c r="B85" s="20" t="n">
        <v>167.46</v>
      </c>
      <c r="C85" s="15" t="s">
        <v>56</v>
      </c>
      <c r="D85" s="15" t="s">
        <v>141</v>
      </c>
      <c r="E85" s="2"/>
      <c r="F85" s="2"/>
      <c r="G85" s="2"/>
      <c r="H85" s="2"/>
      <c r="I85" s="2"/>
      <c r="J85" s="2"/>
      <c r="K85" s="2"/>
    </row>
    <row r="86" customFormat="false" ht="15" hidden="false" customHeight="true" outlineLevel="0" collapsed="false">
      <c r="A86" s="13" t="s">
        <v>153</v>
      </c>
      <c r="B86" s="20" t="n">
        <v>175.52</v>
      </c>
      <c r="C86" s="15" t="s">
        <v>56</v>
      </c>
      <c r="D86" s="15" t="s">
        <v>141</v>
      </c>
      <c r="E86" s="2"/>
      <c r="F86" s="2"/>
      <c r="G86" s="2"/>
      <c r="H86" s="2"/>
      <c r="I86" s="2"/>
      <c r="J86" s="2"/>
      <c r="K86" s="2"/>
    </row>
    <row r="87" customFormat="false" ht="15" hidden="false" customHeight="true" outlineLevel="0" collapsed="false">
      <c r="A87" s="13" t="s">
        <v>154</v>
      </c>
      <c r="B87" s="17" t="n">
        <v>0.025</v>
      </c>
      <c r="C87" s="15" t="s">
        <v>36</v>
      </c>
      <c r="D87" s="15" t="s">
        <v>155</v>
      </c>
      <c r="E87" s="2"/>
      <c r="F87" s="2"/>
      <c r="G87" s="2"/>
      <c r="H87" s="2"/>
      <c r="I87" s="2"/>
      <c r="J87" s="2"/>
      <c r="K87" s="2"/>
    </row>
    <row r="88" customFormat="false" ht="15" hidden="false" customHeight="true" outlineLevel="0" collapsed="false">
      <c r="A88" s="13" t="s">
        <v>156</v>
      </c>
      <c r="B88" s="18" t="n">
        <v>2</v>
      </c>
      <c r="C88" s="15" t="s">
        <v>157</v>
      </c>
      <c r="D88" s="15" t="s">
        <v>158</v>
      </c>
      <c r="E88" s="2"/>
      <c r="F88" s="2"/>
      <c r="G88" s="2"/>
      <c r="H88" s="2"/>
      <c r="I88" s="2"/>
      <c r="J88" s="2"/>
      <c r="K88" s="2"/>
    </row>
    <row r="89" customFormat="false" ht="15" hidden="false" customHeight="true" outlineLevel="0" collapsed="false">
      <c r="A89" s="13" t="s">
        <v>159</v>
      </c>
      <c r="B89" s="20" t="n">
        <v>104.328</v>
      </c>
      <c r="C89" s="15" t="s">
        <v>56</v>
      </c>
      <c r="D89" s="15" t="s">
        <v>160</v>
      </c>
      <c r="E89" s="2"/>
      <c r="F89" s="2"/>
      <c r="G89" s="2"/>
      <c r="H89" s="2"/>
      <c r="I89" s="2"/>
      <c r="J89" s="2"/>
      <c r="K89" s="2"/>
    </row>
    <row r="90" customFormat="false" ht="15" hidden="false" customHeight="true" outlineLevel="0" collapsed="false">
      <c r="A90" s="13" t="s">
        <v>161</v>
      </c>
      <c r="B90" s="20" t="n">
        <v>110.519</v>
      </c>
      <c r="C90" s="15" t="s">
        <v>56</v>
      </c>
      <c r="D90" s="15" t="s">
        <v>160</v>
      </c>
      <c r="E90" s="2"/>
      <c r="F90" s="2"/>
      <c r="G90" s="2"/>
      <c r="H90" s="2"/>
      <c r="I90" s="2"/>
      <c r="J90" s="2"/>
      <c r="K90" s="2"/>
    </row>
    <row r="91" customFormat="false" ht="15" hidden="false" customHeight="true" outlineLevel="0" collapsed="false">
      <c r="A91" s="13" t="s">
        <v>162</v>
      </c>
      <c r="B91" s="20" t="n">
        <v>115.216</v>
      </c>
      <c r="C91" s="15" t="s">
        <v>56</v>
      </c>
      <c r="D91" s="15" t="s">
        <v>160</v>
      </c>
      <c r="E91" s="2"/>
      <c r="F91" s="2"/>
      <c r="G91" s="2"/>
      <c r="H91" s="2"/>
      <c r="I91" s="2"/>
      <c r="J91" s="2"/>
      <c r="K91" s="2"/>
    </row>
    <row r="92" customFormat="false" ht="15" hidden="false" customHeight="true" outlineLevel="0" collapsed="false">
      <c r="A92" s="13" t="s">
        <v>163</v>
      </c>
      <c r="B92" s="20" t="n">
        <v>119.075</v>
      </c>
      <c r="C92" s="15" t="s">
        <v>56</v>
      </c>
      <c r="D92" s="15" t="s">
        <v>160</v>
      </c>
      <c r="E92" s="2"/>
      <c r="F92" s="2"/>
      <c r="G92" s="2"/>
      <c r="H92" s="2"/>
      <c r="I92" s="2"/>
      <c r="J92" s="2"/>
      <c r="K92" s="2"/>
    </row>
    <row r="93" customFormat="false" ht="15" hidden="false" customHeight="true" outlineLevel="0" collapsed="false">
      <c r="A93" s="13" t="s">
        <v>164</v>
      </c>
      <c r="B93" s="20" t="n">
        <v>125.825</v>
      </c>
      <c r="C93" s="15" t="s">
        <v>56</v>
      </c>
      <c r="D93" s="15" t="s">
        <v>160</v>
      </c>
      <c r="E93" s="2"/>
      <c r="F93" s="2"/>
      <c r="G93" s="2"/>
      <c r="H93" s="2"/>
      <c r="I93" s="2"/>
      <c r="J93" s="2"/>
      <c r="K93" s="2"/>
    </row>
    <row r="94" customFormat="false" ht="15" hidden="false" customHeight="true" outlineLevel="0" collapsed="false">
      <c r="A94" s="13" t="s">
        <v>165</v>
      </c>
      <c r="B94" s="20" t="n">
        <v>132.794</v>
      </c>
      <c r="C94" s="15" t="s">
        <v>56</v>
      </c>
      <c r="D94" s="15" t="s">
        <v>160</v>
      </c>
      <c r="E94" s="2"/>
      <c r="F94" s="2"/>
      <c r="G94" s="2"/>
      <c r="H94" s="2"/>
      <c r="I94" s="2"/>
      <c r="J94" s="2"/>
      <c r="K94" s="2"/>
    </row>
    <row r="95" customFormat="false" ht="15" hidden="false" customHeight="true" outlineLevel="0" collapsed="false">
      <c r="A95" s="13" t="s">
        <v>166</v>
      </c>
      <c r="B95" s="20" t="n">
        <v>140.706</v>
      </c>
      <c r="C95" s="15" t="s">
        <v>56</v>
      </c>
      <c r="D95" s="15" t="s">
        <v>160</v>
      </c>
      <c r="E95" s="2"/>
      <c r="F95" s="2"/>
      <c r="G95" s="2"/>
      <c r="H95" s="2"/>
      <c r="I95" s="2"/>
      <c r="J95" s="2"/>
      <c r="K95" s="2"/>
    </row>
    <row r="96" customFormat="false" ht="15" hidden="false" customHeight="true" outlineLevel="0" collapsed="false">
      <c r="A96" s="13" t="s">
        <v>167</v>
      </c>
      <c r="B96" s="20" t="n">
        <v>149.264</v>
      </c>
      <c r="C96" s="15" t="s">
        <v>56</v>
      </c>
      <c r="D96" s="15" t="s">
        <v>160</v>
      </c>
      <c r="E96" s="2"/>
      <c r="F96" s="2"/>
      <c r="G96" s="2"/>
      <c r="H96" s="2"/>
      <c r="I96" s="2"/>
      <c r="J96" s="2"/>
      <c r="K96" s="2"/>
    </row>
    <row r="97" customFormat="false" ht="15" hidden="false" customHeight="true" outlineLevel="0" collapsed="false">
      <c r="A97" s="13" t="s">
        <v>168</v>
      </c>
      <c r="B97" s="20" t="n">
        <v>156.54</v>
      </c>
      <c r="C97" s="15" t="s">
        <v>56</v>
      </c>
      <c r="D97" s="15" t="s">
        <v>160</v>
      </c>
      <c r="E97" s="2"/>
      <c r="F97" s="2"/>
      <c r="G97" s="2"/>
      <c r="H97" s="2"/>
      <c r="I97" s="2"/>
      <c r="J97" s="2"/>
      <c r="K97" s="2"/>
    </row>
    <row r="98" customFormat="false" ht="15" hidden="false" customHeight="true" outlineLevel="0" collapsed="false">
      <c r="A98" s="13" t="s">
        <v>169</v>
      </c>
      <c r="B98" s="20" t="n">
        <v>163.825</v>
      </c>
      <c r="C98" s="15" t="s">
        <v>56</v>
      </c>
      <c r="D98" s="15" t="s">
        <v>160</v>
      </c>
      <c r="E98" s="2"/>
      <c r="F98" s="2"/>
      <c r="G98" s="2"/>
      <c r="H98" s="2"/>
      <c r="I98" s="2"/>
      <c r="J98" s="2"/>
      <c r="K98" s="2"/>
    </row>
    <row r="99" customFormat="false" ht="15" hidden="false" customHeight="true" outlineLevel="0" collapsed="false">
      <c r="A99" s="13" t="s">
        <v>170</v>
      </c>
      <c r="B99" s="20" t="n">
        <v>171.073</v>
      </c>
      <c r="C99" s="15" t="s">
        <v>56</v>
      </c>
      <c r="D99" s="15" t="s">
        <v>160</v>
      </c>
      <c r="E99" s="2"/>
      <c r="F99" s="2"/>
      <c r="G99" s="2"/>
      <c r="H99" s="2"/>
      <c r="I99" s="2"/>
      <c r="J99" s="2"/>
      <c r="K99" s="2"/>
    </row>
    <row r="100" customFormat="false" ht="15" hidden="false" customHeight="true" outlineLevel="0" collapsed="false">
      <c r="A100" s="13" t="s">
        <v>171</v>
      </c>
      <c r="B100" s="20" t="n">
        <v>178.88</v>
      </c>
      <c r="C100" s="15" t="s">
        <v>56</v>
      </c>
      <c r="D100" s="15" t="s">
        <v>160</v>
      </c>
      <c r="E100" s="2"/>
      <c r="F100" s="2"/>
      <c r="G100" s="2"/>
      <c r="H100" s="2"/>
      <c r="I100" s="2"/>
      <c r="J100" s="2"/>
      <c r="K100" s="2"/>
    </row>
    <row r="101" customFormat="false" ht="15" hidden="false" customHeight="true" outlineLevel="0" collapsed="false">
      <c r="A101" s="13" t="s">
        <v>172</v>
      </c>
      <c r="B101" s="20" t="n">
        <v>187.14</v>
      </c>
      <c r="C101" s="15" t="s">
        <v>56</v>
      </c>
      <c r="D101" s="15" t="s">
        <v>160</v>
      </c>
      <c r="E101" s="2"/>
      <c r="F101" s="2"/>
      <c r="G101" s="2"/>
      <c r="H101" s="2"/>
      <c r="I101" s="2"/>
      <c r="J101" s="2"/>
      <c r="K101" s="2"/>
    </row>
    <row r="102" customFormat="false" ht="15" hidden="false" customHeight="true" outlineLevel="0" collapsed="false">
      <c r="A102" s="13" t="s">
        <v>173</v>
      </c>
      <c r="B102" s="20" t="n">
        <v>37.004</v>
      </c>
      <c r="C102" s="15" t="s">
        <v>56</v>
      </c>
      <c r="D102" s="15" t="s">
        <v>174</v>
      </c>
      <c r="E102" s="2"/>
      <c r="F102" s="2"/>
      <c r="G102" s="2"/>
      <c r="H102" s="2"/>
      <c r="I102" s="2"/>
      <c r="J102" s="2"/>
      <c r="K102" s="2"/>
    </row>
    <row r="103" customFormat="false" ht="15" hidden="false" customHeight="true" outlineLevel="0" collapsed="false">
      <c r="A103" s="13" t="s">
        <v>175</v>
      </c>
      <c r="B103" s="20" t="n">
        <v>36.978</v>
      </c>
      <c r="C103" s="15" t="s">
        <v>56</v>
      </c>
      <c r="D103" s="15" t="s">
        <v>174</v>
      </c>
      <c r="E103" s="2"/>
      <c r="F103" s="2"/>
      <c r="G103" s="2"/>
      <c r="H103" s="2"/>
      <c r="I103" s="2"/>
      <c r="J103" s="2"/>
      <c r="K103" s="2"/>
    </row>
    <row r="104" customFormat="false" ht="15" hidden="false" customHeight="true" outlineLevel="0" collapsed="false">
      <c r="A104" s="13" t="s">
        <v>176</v>
      </c>
      <c r="B104" s="20" t="n">
        <v>39.513</v>
      </c>
      <c r="C104" s="15" t="s">
        <v>56</v>
      </c>
      <c r="D104" s="15" t="s">
        <v>174</v>
      </c>
      <c r="E104" s="2"/>
      <c r="F104" s="2"/>
      <c r="G104" s="2"/>
      <c r="H104" s="2"/>
      <c r="I104" s="2"/>
      <c r="J104" s="2"/>
      <c r="K104" s="2"/>
    </row>
    <row r="105" customFormat="false" ht="15" hidden="false" customHeight="true" outlineLevel="0" collapsed="false">
      <c r="A105" s="13" t="s">
        <v>177</v>
      </c>
      <c r="B105" s="20" t="n">
        <v>41.366</v>
      </c>
      <c r="C105" s="15" t="s">
        <v>56</v>
      </c>
      <c r="D105" s="15" t="s">
        <v>174</v>
      </c>
      <c r="E105" s="2"/>
      <c r="F105" s="2"/>
      <c r="G105" s="2"/>
      <c r="H105" s="2"/>
      <c r="I105" s="2"/>
      <c r="J105" s="2"/>
      <c r="K105" s="2"/>
    </row>
    <row r="106" customFormat="false" ht="15" hidden="false" customHeight="true" outlineLevel="0" collapsed="false">
      <c r="A106" s="13" t="s">
        <v>178</v>
      </c>
      <c r="B106" s="20" t="n">
        <v>45.172</v>
      </c>
      <c r="C106" s="15" t="s">
        <v>56</v>
      </c>
      <c r="D106" s="15" t="s">
        <v>174</v>
      </c>
      <c r="E106" s="2"/>
      <c r="F106" s="2"/>
      <c r="G106" s="2"/>
      <c r="H106" s="2"/>
      <c r="I106" s="2"/>
      <c r="J106" s="2"/>
      <c r="K106" s="2"/>
    </row>
    <row r="107" customFormat="false" ht="15" hidden="false" customHeight="true" outlineLevel="0" collapsed="false">
      <c r="A107" s="13" t="s">
        <v>179</v>
      </c>
      <c r="B107" s="20" t="n">
        <v>49.209</v>
      </c>
      <c r="C107" s="15" t="s">
        <v>56</v>
      </c>
      <c r="D107" s="15" t="s">
        <v>174</v>
      </c>
      <c r="E107" s="2"/>
      <c r="F107" s="2"/>
      <c r="G107" s="2"/>
      <c r="H107" s="2"/>
      <c r="I107" s="2"/>
      <c r="J107" s="2"/>
      <c r="K107" s="2"/>
    </row>
    <row r="108" customFormat="false" ht="15" hidden="false" customHeight="true" outlineLevel="0" collapsed="false">
      <c r="A108" s="13" t="s">
        <v>180</v>
      </c>
      <c r="B108" s="20" t="n">
        <v>53.858</v>
      </c>
      <c r="C108" s="15" t="s">
        <v>56</v>
      </c>
      <c r="D108" s="15" t="s">
        <v>174</v>
      </c>
      <c r="E108" s="2"/>
      <c r="F108" s="2"/>
      <c r="G108" s="2"/>
      <c r="H108" s="2"/>
      <c r="I108" s="2"/>
      <c r="J108" s="2"/>
      <c r="K108" s="2"/>
    </row>
    <row r="109" customFormat="false" ht="15" hidden="false" customHeight="true" outlineLevel="0" collapsed="false">
      <c r="A109" s="13" t="s">
        <v>181</v>
      </c>
      <c r="B109" s="20" t="n">
        <v>58.961</v>
      </c>
      <c r="C109" s="15" t="s">
        <v>56</v>
      </c>
      <c r="D109" s="15" t="s">
        <v>174</v>
      </c>
      <c r="E109" s="2"/>
      <c r="F109" s="2"/>
      <c r="G109" s="2"/>
      <c r="H109" s="2"/>
      <c r="I109" s="2"/>
      <c r="J109" s="2"/>
      <c r="K109" s="2"/>
    </row>
    <row r="110" customFormat="false" ht="15" hidden="false" customHeight="true" outlineLevel="0" collapsed="false">
      <c r="A110" s="13" t="s">
        <v>182</v>
      </c>
      <c r="B110" s="20" t="n">
        <v>63.23</v>
      </c>
      <c r="C110" s="15" t="s">
        <v>56</v>
      </c>
      <c r="D110" s="15" t="s">
        <v>174</v>
      </c>
      <c r="E110" s="2"/>
      <c r="F110" s="2"/>
      <c r="G110" s="2"/>
      <c r="H110" s="2"/>
      <c r="I110" s="2"/>
      <c r="J110" s="2"/>
      <c r="K110" s="2"/>
    </row>
    <row r="111" customFormat="false" ht="15" hidden="false" customHeight="true" outlineLevel="0" collapsed="false">
      <c r="A111" s="13" t="s">
        <v>183</v>
      </c>
      <c r="B111" s="20" t="n">
        <v>67.43</v>
      </c>
      <c r="C111" s="15" t="s">
        <v>56</v>
      </c>
      <c r="D111" s="15" t="s">
        <v>174</v>
      </c>
      <c r="E111" s="2"/>
      <c r="F111" s="2"/>
      <c r="G111" s="2"/>
      <c r="H111" s="2"/>
      <c r="I111" s="2"/>
      <c r="J111" s="2"/>
      <c r="K111" s="2"/>
    </row>
    <row r="112" customFormat="false" ht="15" hidden="false" customHeight="true" outlineLevel="0" collapsed="false">
      <c r="A112" s="13" t="s">
        <v>184</v>
      </c>
      <c r="B112" s="20" t="n">
        <v>71.589</v>
      </c>
      <c r="C112" s="15" t="s">
        <v>56</v>
      </c>
      <c r="D112" s="15" t="s">
        <v>174</v>
      </c>
      <c r="E112" s="2"/>
      <c r="F112" s="2"/>
      <c r="G112" s="2"/>
      <c r="H112" s="2"/>
      <c r="I112" s="2"/>
      <c r="J112" s="2"/>
      <c r="K112" s="2"/>
    </row>
    <row r="113" customFormat="false" ht="15" hidden="false" customHeight="true" outlineLevel="0" collapsed="false">
      <c r="A113" s="13" t="s">
        <v>185</v>
      </c>
      <c r="B113" s="20" t="n">
        <v>76.099</v>
      </c>
      <c r="C113" s="15" t="s">
        <v>56</v>
      </c>
      <c r="D113" s="15" t="s">
        <v>174</v>
      </c>
      <c r="E113" s="2"/>
      <c r="F113" s="2"/>
      <c r="G113" s="2"/>
      <c r="H113" s="2"/>
      <c r="I113" s="2"/>
      <c r="J113" s="2"/>
      <c r="K113" s="2"/>
    </row>
    <row r="114" customFormat="false" ht="15" hidden="false" customHeight="true" outlineLevel="0" collapsed="false">
      <c r="A114" s="13" t="s">
        <v>186</v>
      </c>
      <c r="B114" s="20" t="n">
        <v>80.914</v>
      </c>
      <c r="C114" s="15" t="s">
        <v>56</v>
      </c>
      <c r="D114" s="15" t="s">
        <v>174</v>
      </c>
      <c r="E114" s="2"/>
      <c r="F114" s="2"/>
      <c r="G114" s="2"/>
      <c r="H114" s="2"/>
      <c r="I114" s="2"/>
      <c r="J114" s="2"/>
      <c r="K114" s="2"/>
    </row>
    <row r="115" customFormat="false" ht="15" hidden="false" customHeight="true" outlineLevel="0" collapsed="false">
      <c r="A115" s="13" t="s">
        <v>187</v>
      </c>
      <c r="B115" s="20" t="n">
        <v>77.48</v>
      </c>
      <c r="C115" s="15" t="s">
        <v>119</v>
      </c>
      <c r="D115" s="15" t="s">
        <v>188</v>
      </c>
      <c r="E115" s="2"/>
      <c r="F115" s="2"/>
      <c r="G115" s="2"/>
      <c r="H115" s="2"/>
      <c r="I115" s="2"/>
      <c r="J115" s="2"/>
      <c r="K115" s="2"/>
    </row>
    <row r="116" customFormat="false" ht="15" hidden="false" customHeight="true" outlineLevel="0" collapsed="false">
      <c r="A116" s="13" t="s">
        <v>189</v>
      </c>
      <c r="B116" s="20" t="n">
        <v>80.33</v>
      </c>
      <c r="C116" s="15" t="s">
        <v>119</v>
      </c>
      <c r="D116" s="15" t="s">
        <v>188</v>
      </c>
      <c r="E116" s="2"/>
      <c r="F116" s="2"/>
      <c r="G116" s="2"/>
      <c r="H116" s="2"/>
      <c r="I116" s="2"/>
      <c r="J116" s="2"/>
      <c r="K116" s="2"/>
    </row>
    <row r="117" customFormat="false" ht="15" hidden="false" customHeight="true" outlineLevel="0" collapsed="false">
      <c r="A117" s="13" t="s">
        <v>190</v>
      </c>
      <c r="B117" s="20" t="n">
        <v>82.38</v>
      </c>
      <c r="C117" s="15" t="s">
        <v>119</v>
      </c>
      <c r="D117" s="15" t="s">
        <v>188</v>
      </c>
      <c r="E117" s="2"/>
      <c r="F117" s="2"/>
      <c r="G117" s="2"/>
      <c r="H117" s="2"/>
      <c r="I117" s="2"/>
      <c r="J117" s="2"/>
      <c r="K117" s="2"/>
    </row>
    <row r="118" customFormat="false" ht="15" hidden="false" customHeight="true" outlineLevel="0" collapsed="false">
      <c r="A118" s="13" t="s">
        <v>191</v>
      </c>
      <c r="B118" s="20" t="n">
        <v>83.53</v>
      </c>
      <c r="C118" s="15" t="s">
        <v>119</v>
      </c>
      <c r="D118" s="15" t="s">
        <v>188</v>
      </c>
      <c r="E118" s="2"/>
      <c r="F118" s="2"/>
      <c r="G118" s="2"/>
      <c r="H118" s="2"/>
      <c r="I118" s="2"/>
      <c r="J118" s="2"/>
      <c r="K118" s="2"/>
    </row>
    <row r="119" customFormat="false" ht="15" hidden="false" customHeight="true" outlineLevel="0" collapsed="false">
      <c r="A119" s="13" t="s">
        <v>192</v>
      </c>
      <c r="B119" s="20" t="n">
        <v>85.44</v>
      </c>
      <c r="C119" s="15" t="s">
        <v>119</v>
      </c>
      <c r="D119" s="15" t="s">
        <v>188</v>
      </c>
      <c r="E119" s="2"/>
      <c r="F119" s="2"/>
      <c r="G119" s="2"/>
      <c r="H119" s="2"/>
      <c r="I119" s="2"/>
      <c r="J119" s="2"/>
      <c r="K119" s="2"/>
    </row>
    <row r="120" customFormat="false" ht="15" hidden="false" customHeight="true" outlineLevel="0" collapsed="false">
      <c r="A120" s="13" t="s">
        <v>193</v>
      </c>
      <c r="B120" s="20" t="n">
        <v>87.39</v>
      </c>
      <c r="C120" s="15" t="s">
        <v>119</v>
      </c>
      <c r="D120" s="15" t="s">
        <v>188</v>
      </c>
      <c r="E120" s="2"/>
      <c r="F120" s="2"/>
      <c r="G120" s="2"/>
      <c r="H120" s="2"/>
      <c r="I120" s="2"/>
      <c r="J120" s="2"/>
      <c r="K120" s="2"/>
    </row>
    <row r="121" customFormat="false" ht="15" hidden="false" customHeight="true" outlineLevel="0" collapsed="false">
      <c r="A121" s="13" t="s">
        <v>194</v>
      </c>
      <c r="B121" s="20" t="n">
        <v>89.39</v>
      </c>
      <c r="C121" s="15" t="s">
        <v>119</v>
      </c>
      <c r="D121" s="15" t="s">
        <v>188</v>
      </c>
      <c r="E121" s="2"/>
      <c r="F121" s="2"/>
      <c r="G121" s="2"/>
      <c r="H121" s="2"/>
      <c r="I121" s="2"/>
      <c r="J121" s="2"/>
      <c r="K121" s="2"/>
    </row>
    <row r="122" customFormat="false" ht="15" hidden="false" customHeight="true" outlineLevel="0" collapsed="false">
      <c r="A122" s="13" t="s">
        <v>195</v>
      </c>
      <c r="B122" s="20" t="n">
        <v>91.44</v>
      </c>
      <c r="C122" s="15" t="s">
        <v>119</v>
      </c>
      <c r="D122" s="15" t="s">
        <v>188</v>
      </c>
      <c r="E122" s="2"/>
      <c r="F122" s="2"/>
      <c r="G122" s="2"/>
      <c r="H122" s="2"/>
      <c r="I122" s="2"/>
      <c r="J122" s="2"/>
      <c r="K122" s="2"/>
    </row>
    <row r="123" customFormat="false" ht="15" hidden="false" customHeight="true" outlineLevel="0" collapsed="false">
      <c r="A123" s="13" t="s">
        <v>196</v>
      </c>
      <c r="B123" s="20" t="n">
        <v>93.54</v>
      </c>
      <c r="C123" s="15" t="s">
        <v>119</v>
      </c>
      <c r="D123" s="15" t="s">
        <v>188</v>
      </c>
      <c r="E123" s="2"/>
      <c r="F123" s="2"/>
      <c r="G123" s="2"/>
      <c r="H123" s="2"/>
      <c r="I123" s="2"/>
      <c r="J123" s="2"/>
      <c r="K123" s="2"/>
    </row>
    <row r="124" customFormat="false" ht="15" hidden="false" customHeight="true" outlineLevel="0" collapsed="false">
      <c r="A124" s="13" t="s">
        <v>197</v>
      </c>
      <c r="B124" s="20" t="n">
        <v>95.69</v>
      </c>
      <c r="C124" s="15" t="s">
        <v>119</v>
      </c>
      <c r="D124" s="15" t="s">
        <v>188</v>
      </c>
      <c r="E124" s="2"/>
      <c r="F124" s="2"/>
      <c r="G124" s="2"/>
      <c r="H124" s="2"/>
      <c r="I124" s="2"/>
      <c r="J124" s="2"/>
      <c r="K124" s="2"/>
    </row>
    <row r="125" customFormat="false" ht="15" hidden="false" customHeight="true" outlineLevel="0" collapsed="false">
      <c r="A125" s="13" t="s">
        <v>198</v>
      </c>
      <c r="B125" s="20" t="n">
        <v>97.9</v>
      </c>
      <c r="C125" s="15" t="s">
        <v>119</v>
      </c>
      <c r="D125" s="15" t="s">
        <v>188</v>
      </c>
      <c r="E125" s="2"/>
      <c r="F125" s="2"/>
      <c r="G125" s="2"/>
      <c r="H125" s="2"/>
      <c r="I125" s="2"/>
      <c r="J125" s="2"/>
      <c r="K125" s="2"/>
    </row>
    <row r="126" customFormat="false" ht="15" hidden="false" customHeight="true" outlineLevel="0" collapsed="false">
      <c r="A126" s="13" t="s">
        <v>199</v>
      </c>
      <c r="B126" s="20" t="n">
        <v>100.16</v>
      </c>
      <c r="C126" s="15" t="s">
        <v>119</v>
      </c>
      <c r="D126" s="15" t="s">
        <v>188</v>
      </c>
      <c r="E126" s="2"/>
      <c r="F126" s="2"/>
      <c r="G126" s="2"/>
      <c r="H126" s="2"/>
      <c r="I126" s="2"/>
      <c r="J126" s="2"/>
      <c r="K126" s="2"/>
    </row>
    <row r="127" customFormat="false" ht="15" hidden="false" customHeight="true" outlineLevel="0" collapsed="false">
      <c r="A127" s="13" t="s">
        <v>200</v>
      </c>
      <c r="B127" s="20" t="n">
        <v>102.49</v>
      </c>
      <c r="C127" s="15" t="s">
        <v>119</v>
      </c>
      <c r="D127" s="15" t="s">
        <v>188</v>
      </c>
      <c r="E127" s="2"/>
      <c r="F127" s="2"/>
      <c r="G127" s="2"/>
      <c r="H127" s="2"/>
      <c r="I127" s="2"/>
      <c r="J127" s="2"/>
      <c r="K127" s="2"/>
    </row>
    <row r="128" customFormat="false" ht="15" hidden="false" customHeight="true" outlineLevel="0" collapsed="false">
      <c r="A128" s="13" t="s">
        <v>201</v>
      </c>
      <c r="B128" s="20" t="n">
        <v>91.91</v>
      </c>
      <c r="C128" s="15" t="s">
        <v>119</v>
      </c>
      <c r="D128" s="15" t="s">
        <v>202</v>
      </c>
      <c r="E128" s="2"/>
      <c r="F128" s="2"/>
      <c r="G128" s="2"/>
      <c r="H128" s="2"/>
      <c r="I128" s="2"/>
      <c r="J128" s="2"/>
      <c r="K128" s="2"/>
    </row>
    <row r="129" customFormat="false" ht="15" hidden="false" customHeight="true" outlineLevel="0" collapsed="false">
      <c r="A129" s="13" t="s">
        <v>203</v>
      </c>
      <c r="B129" s="20" t="n">
        <v>95.06</v>
      </c>
      <c r="C129" s="15" t="s">
        <v>119</v>
      </c>
      <c r="D129" s="15" t="s">
        <v>202</v>
      </c>
      <c r="E129" s="2"/>
      <c r="F129" s="2"/>
      <c r="G129" s="2"/>
      <c r="H129" s="2"/>
      <c r="I129" s="2"/>
      <c r="J129" s="2"/>
      <c r="K129" s="2"/>
    </row>
    <row r="130" customFormat="false" ht="15" hidden="false" customHeight="true" outlineLevel="0" collapsed="false">
      <c r="A130" s="13" t="s">
        <v>204</v>
      </c>
      <c r="B130" s="20" t="n">
        <v>97.4</v>
      </c>
      <c r="C130" s="15" t="s">
        <v>119</v>
      </c>
      <c r="D130" s="15" t="s">
        <v>202</v>
      </c>
      <c r="E130" s="2"/>
      <c r="F130" s="2"/>
      <c r="G130" s="2"/>
      <c r="H130" s="2"/>
      <c r="I130" s="2"/>
      <c r="J130" s="2"/>
      <c r="K130" s="2"/>
    </row>
    <row r="131" customFormat="false" ht="15" hidden="false" customHeight="true" outlineLevel="0" collapsed="false">
      <c r="A131" s="13" t="s">
        <v>205</v>
      </c>
      <c r="B131" s="20" t="n">
        <v>98.85</v>
      </c>
      <c r="C131" s="15" t="s">
        <v>119</v>
      </c>
      <c r="D131" s="15" t="s">
        <v>202</v>
      </c>
      <c r="E131" s="2"/>
      <c r="F131" s="2"/>
      <c r="G131" s="2"/>
      <c r="H131" s="2"/>
      <c r="I131" s="2"/>
      <c r="J131" s="2"/>
      <c r="K131" s="2"/>
    </row>
    <row r="132" customFormat="false" ht="15" hidden="false" customHeight="true" outlineLevel="0" collapsed="false">
      <c r="A132" s="13" t="s">
        <v>206</v>
      </c>
      <c r="B132" s="20" t="n">
        <v>101.06</v>
      </c>
      <c r="C132" s="15" t="s">
        <v>119</v>
      </c>
      <c r="D132" s="15" t="s">
        <v>202</v>
      </c>
      <c r="E132" s="2"/>
      <c r="F132" s="2"/>
      <c r="G132" s="2"/>
      <c r="H132" s="2"/>
      <c r="I132" s="2"/>
      <c r="J132" s="2"/>
      <c r="K132" s="2"/>
    </row>
    <row r="133" customFormat="false" ht="15" hidden="false" customHeight="true" outlineLevel="0" collapsed="false">
      <c r="A133" s="13" t="s">
        <v>207</v>
      </c>
      <c r="B133" s="20" t="n">
        <v>103.33</v>
      </c>
      <c r="C133" s="15" t="s">
        <v>119</v>
      </c>
      <c r="D133" s="15" t="s">
        <v>202</v>
      </c>
      <c r="E133" s="2"/>
      <c r="F133" s="2"/>
      <c r="G133" s="2"/>
      <c r="H133" s="2"/>
      <c r="I133" s="2"/>
      <c r="J133" s="2"/>
      <c r="K133" s="2"/>
    </row>
    <row r="134" customFormat="false" ht="15" hidden="false" customHeight="true" outlineLevel="0" collapsed="false">
      <c r="A134" s="13" t="s">
        <v>208</v>
      </c>
      <c r="B134" s="20" t="n">
        <v>105.64</v>
      </c>
      <c r="C134" s="15" t="s">
        <v>119</v>
      </c>
      <c r="D134" s="15" t="s">
        <v>202</v>
      </c>
      <c r="E134" s="2"/>
      <c r="F134" s="2"/>
      <c r="G134" s="2"/>
      <c r="H134" s="2"/>
      <c r="I134" s="2"/>
      <c r="J134" s="2"/>
      <c r="K134" s="2"/>
    </row>
    <row r="135" customFormat="false" ht="15" hidden="false" customHeight="true" outlineLevel="0" collapsed="false">
      <c r="A135" s="13" t="s">
        <v>209</v>
      </c>
      <c r="B135" s="20" t="n">
        <v>108.02</v>
      </c>
      <c r="C135" s="15" t="s">
        <v>119</v>
      </c>
      <c r="D135" s="15" t="s">
        <v>202</v>
      </c>
      <c r="E135" s="2"/>
      <c r="F135" s="2"/>
      <c r="G135" s="2"/>
      <c r="H135" s="2"/>
      <c r="I135" s="2"/>
      <c r="J135" s="2"/>
      <c r="K135" s="2"/>
    </row>
    <row r="136" customFormat="false" ht="15" hidden="false" customHeight="true" outlineLevel="0" collapsed="false">
      <c r="A136" s="13" t="s">
        <v>210</v>
      </c>
      <c r="B136" s="20" t="n">
        <v>110.45</v>
      </c>
      <c r="C136" s="15" t="s">
        <v>119</v>
      </c>
      <c r="D136" s="15" t="s">
        <v>202</v>
      </c>
      <c r="E136" s="2"/>
      <c r="F136" s="2"/>
      <c r="G136" s="2"/>
      <c r="H136" s="2"/>
      <c r="I136" s="2"/>
      <c r="J136" s="2"/>
      <c r="K136" s="2"/>
    </row>
    <row r="137" customFormat="false" ht="15" hidden="false" customHeight="true" outlineLevel="0" collapsed="false">
      <c r="A137" s="13" t="s">
        <v>211</v>
      </c>
      <c r="B137" s="20" t="n">
        <v>112.94</v>
      </c>
      <c r="C137" s="15" t="s">
        <v>119</v>
      </c>
      <c r="D137" s="15" t="s">
        <v>202</v>
      </c>
      <c r="E137" s="2"/>
      <c r="F137" s="2"/>
      <c r="G137" s="2"/>
      <c r="H137" s="2"/>
      <c r="I137" s="2"/>
      <c r="J137" s="2"/>
      <c r="K137" s="2"/>
    </row>
    <row r="138" customFormat="false" ht="15" hidden="false" customHeight="true" outlineLevel="0" collapsed="false">
      <c r="A138" s="13" t="s">
        <v>212</v>
      </c>
      <c r="B138" s="20" t="n">
        <v>115.5</v>
      </c>
      <c r="C138" s="15" t="s">
        <v>119</v>
      </c>
      <c r="D138" s="15" t="s">
        <v>202</v>
      </c>
      <c r="E138" s="2"/>
      <c r="F138" s="2"/>
      <c r="G138" s="2"/>
      <c r="H138" s="2"/>
      <c r="I138" s="2"/>
      <c r="J138" s="2"/>
      <c r="K138" s="2"/>
    </row>
    <row r="139" customFormat="false" ht="15" hidden="false" customHeight="true" outlineLevel="0" collapsed="false">
      <c r="A139" s="13" t="s">
        <v>213</v>
      </c>
      <c r="B139" s="20" t="n">
        <v>118.11</v>
      </c>
      <c r="C139" s="15" t="s">
        <v>119</v>
      </c>
      <c r="D139" s="15" t="s">
        <v>202</v>
      </c>
      <c r="E139" s="2"/>
      <c r="F139" s="2"/>
      <c r="G139" s="2"/>
      <c r="H139" s="2"/>
      <c r="I139" s="2"/>
      <c r="J139" s="2"/>
      <c r="K139" s="2"/>
    </row>
    <row r="140" customFormat="false" ht="15" hidden="false" customHeight="true" outlineLevel="0" collapsed="false">
      <c r="A140" s="13" t="s">
        <v>214</v>
      </c>
      <c r="B140" s="20" t="n">
        <v>120.79</v>
      </c>
      <c r="C140" s="15" t="s">
        <v>119</v>
      </c>
      <c r="D140" s="15" t="s">
        <v>202</v>
      </c>
      <c r="E140" s="2"/>
      <c r="F140" s="2"/>
      <c r="G140" s="2"/>
      <c r="H140" s="2"/>
      <c r="I140" s="2"/>
      <c r="J140" s="2"/>
      <c r="K140" s="2"/>
    </row>
    <row r="141" customFormat="false" ht="15" hidden="false" customHeight="true" outlineLevel="0" collapsed="false">
      <c r="A141" s="13" t="s">
        <v>215</v>
      </c>
      <c r="B141" s="17" t="n">
        <v>0.311</v>
      </c>
      <c r="C141" s="15" t="s">
        <v>36</v>
      </c>
      <c r="D141" s="15" t="s">
        <v>216</v>
      </c>
      <c r="E141" s="2"/>
      <c r="F141" s="2"/>
      <c r="G141" s="2"/>
      <c r="H141" s="2"/>
      <c r="I141" s="2"/>
      <c r="J141" s="2"/>
      <c r="K141" s="2"/>
    </row>
    <row r="142" customFormat="false" ht="15" hidden="false" customHeight="true" outlineLevel="0" collapsed="false">
      <c r="A142" s="13" t="s">
        <v>217</v>
      </c>
      <c r="B142" s="17" t="n">
        <v>0.05</v>
      </c>
      <c r="C142" s="15" t="s">
        <v>36</v>
      </c>
      <c r="D142" s="15" t="s">
        <v>136</v>
      </c>
      <c r="E142" s="2"/>
      <c r="F142" s="2"/>
      <c r="G142" s="2"/>
      <c r="H142" s="2"/>
      <c r="I142" s="2"/>
      <c r="J142" s="2"/>
      <c r="K142" s="2"/>
    </row>
    <row r="143" customFormat="false" ht="15" hidden="false" customHeight="true" outlineLevel="0" collapsed="false">
      <c r="A143" s="13" t="s">
        <v>218</v>
      </c>
      <c r="B143" s="17" t="n">
        <v>0.1</v>
      </c>
      <c r="C143" s="15" t="s">
        <v>36</v>
      </c>
      <c r="D143" s="15" t="s">
        <v>136</v>
      </c>
      <c r="E143" s="2"/>
      <c r="F143" s="2"/>
      <c r="G143" s="2"/>
      <c r="H143" s="2"/>
      <c r="I143" s="2"/>
      <c r="J143" s="2"/>
      <c r="K143" s="2"/>
    </row>
    <row r="144" customFormat="false" ht="15" hidden="false" customHeight="true" outlineLevel="0" collapsed="false">
      <c r="A144" s="13" t="s">
        <v>219</v>
      </c>
      <c r="B144" s="20" t="n">
        <v>2</v>
      </c>
      <c r="C144" s="15" t="s">
        <v>56</v>
      </c>
      <c r="D144" s="15" t="s">
        <v>220</v>
      </c>
      <c r="E144" s="2"/>
      <c r="F144" s="2"/>
      <c r="G144" s="2"/>
      <c r="H144" s="2"/>
      <c r="I144" s="2"/>
      <c r="J144" s="2"/>
      <c r="K144" s="2"/>
    </row>
    <row r="145" customFormat="false" ht="15" hidden="false" customHeight="true" outlineLevel="0" collapsed="false">
      <c r="A145" s="11" t="s">
        <v>221</v>
      </c>
      <c r="B145" s="12"/>
      <c r="C145" s="12"/>
      <c r="D145" s="12"/>
      <c r="E145" s="2"/>
      <c r="F145" s="2"/>
      <c r="G145" s="2"/>
      <c r="H145" s="2"/>
      <c r="I145" s="2"/>
      <c r="J145" s="2"/>
      <c r="K145" s="2"/>
    </row>
    <row r="146" customFormat="false" ht="15" hidden="false" customHeight="true" outlineLevel="0" collapsed="false">
      <c r="A146" s="13" t="s">
        <v>222</v>
      </c>
      <c r="B146" s="23" t="n">
        <v>53987</v>
      </c>
      <c r="C146" s="15" t="s">
        <v>223</v>
      </c>
      <c r="D146" s="15" t="s">
        <v>224</v>
      </c>
      <c r="E146" s="2"/>
      <c r="F146" s="2"/>
      <c r="G146" s="2"/>
      <c r="H146" s="2"/>
      <c r="I146" s="2"/>
      <c r="J146" s="2"/>
      <c r="K146" s="2"/>
    </row>
    <row r="147" customFormat="false" ht="15" hidden="false" customHeight="true" outlineLevel="0" collapsed="false">
      <c r="A147" s="13" t="s">
        <v>225</v>
      </c>
      <c r="B147" s="16" t="n">
        <v>38597</v>
      </c>
      <c r="C147" s="15" t="s">
        <v>223</v>
      </c>
      <c r="D147" s="15" t="s">
        <v>226</v>
      </c>
      <c r="E147" s="2"/>
      <c r="F147" s="2"/>
      <c r="G147" s="2"/>
      <c r="H147" s="2"/>
      <c r="I147" s="2"/>
      <c r="J147" s="2"/>
      <c r="K147" s="2"/>
    </row>
    <row r="148" customFormat="false" ht="15" hidden="false" customHeight="true" outlineLevel="0" collapsed="false">
      <c r="A148" s="13" t="s">
        <v>227</v>
      </c>
      <c r="B148" s="24" t="n">
        <f aca="false">Inputs!$B$147/Inputs!$B$146</f>
        <v>0.714931372367422</v>
      </c>
      <c r="C148" s="15" t="s">
        <v>25</v>
      </c>
      <c r="D148" s="15" t="s">
        <v>228</v>
      </c>
      <c r="E148" s="2"/>
      <c r="F148" s="2"/>
      <c r="G148" s="2"/>
      <c r="H148" s="2"/>
      <c r="I148" s="2"/>
      <c r="J148" s="2"/>
      <c r="K148" s="2"/>
    </row>
    <row r="149" customFormat="false" ht="15" hidden="false" customHeight="true" outlineLevel="0" collapsed="false">
      <c r="A149" s="6" t="s">
        <v>229</v>
      </c>
      <c r="B149" s="25" t="s">
        <v>230</v>
      </c>
      <c r="C149" s="26" t="s">
        <v>231</v>
      </c>
      <c r="D149" s="26" t="s">
        <v>232</v>
      </c>
      <c r="E149" s="15" t="s">
        <v>233</v>
      </c>
      <c r="F149" s="2"/>
      <c r="G149" s="2"/>
      <c r="H149" s="2"/>
      <c r="I149" s="2"/>
      <c r="J149" s="2"/>
      <c r="K149" s="2"/>
    </row>
    <row r="150" customFormat="false" ht="15" hidden="false" customHeight="true" outlineLevel="0" collapsed="false">
      <c r="A150" s="13" t="s">
        <v>234</v>
      </c>
      <c r="B150" s="27" t="n">
        <v>30.432008</v>
      </c>
      <c r="C150" s="28" t="n">
        <v>40.037738</v>
      </c>
      <c r="D150" s="28" t="n">
        <v>48.633526</v>
      </c>
      <c r="E150" s="2"/>
      <c r="F150" s="2"/>
      <c r="G150" s="2"/>
      <c r="H150" s="2"/>
      <c r="I150" s="2"/>
      <c r="J150" s="2"/>
      <c r="K150" s="2"/>
    </row>
    <row r="151" customFormat="false" ht="15" hidden="false" customHeight="true" outlineLevel="0" collapsed="false">
      <c r="A151" s="13" t="s">
        <v>235</v>
      </c>
      <c r="B151" s="27" t="n">
        <v>4.95</v>
      </c>
      <c r="C151" s="28" t="n">
        <v>5.445</v>
      </c>
      <c r="D151" s="28" t="n">
        <v>5.9895</v>
      </c>
      <c r="E151" s="2"/>
      <c r="F151" s="2"/>
      <c r="G151" s="2"/>
      <c r="H151" s="2"/>
      <c r="I151" s="2"/>
      <c r="J151" s="2"/>
      <c r="K151" s="2"/>
    </row>
    <row r="152" customFormat="false" ht="15" hidden="false" customHeight="true" outlineLevel="0" collapsed="false">
      <c r="A152" s="13" t="s">
        <v>236</v>
      </c>
      <c r="B152" s="27" t="n">
        <v>4.564801</v>
      </c>
      <c r="C152" s="28" t="n">
        <v>6.005661</v>
      </c>
      <c r="D152" s="28" t="n">
        <v>7.295029</v>
      </c>
      <c r="E152" s="2"/>
      <c r="F152" s="2"/>
      <c r="G152" s="2"/>
      <c r="H152" s="2"/>
      <c r="I152" s="2"/>
      <c r="J152" s="2"/>
      <c r="K152" s="2"/>
    </row>
    <row r="153" customFormat="false" ht="15" hidden="false" customHeight="true" outlineLevel="0" collapsed="false">
      <c r="A153" s="13" t="s">
        <v>237</v>
      </c>
      <c r="B153" s="27" t="n">
        <v>1.5216</v>
      </c>
      <c r="C153" s="28" t="n">
        <v>2.001887</v>
      </c>
      <c r="D153" s="28" t="n">
        <v>2.431676</v>
      </c>
      <c r="E153" s="2"/>
      <c r="F153" s="2"/>
      <c r="G153" s="2"/>
      <c r="H153" s="2"/>
      <c r="I153" s="2"/>
      <c r="J153" s="2"/>
      <c r="K153" s="2"/>
    </row>
    <row r="154" customFormat="false" ht="15" hidden="false" customHeight="true" outlineLevel="0" collapsed="false">
      <c r="A154" s="13" t="s">
        <v>238</v>
      </c>
      <c r="B154" s="27" t="n">
        <v>3</v>
      </c>
      <c r="C154" s="28" t="n">
        <v>6</v>
      </c>
      <c r="D154" s="28" t="n">
        <v>9</v>
      </c>
      <c r="E154" s="2"/>
      <c r="F154" s="2"/>
      <c r="G154" s="2"/>
      <c r="H154" s="2"/>
      <c r="I154" s="2"/>
      <c r="J154" s="2"/>
      <c r="K154" s="2"/>
    </row>
    <row r="155" customFormat="false" ht="15" hidden="false" customHeight="true" outlineLevel="0" collapsed="false">
      <c r="A155" s="13" t="s">
        <v>239</v>
      </c>
      <c r="B155" s="27" t="n">
        <v>7.2</v>
      </c>
      <c r="C155" s="28" t="n">
        <v>7.92</v>
      </c>
      <c r="D155" s="28" t="n">
        <v>8.712</v>
      </c>
      <c r="E155" s="2"/>
      <c r="F155" s="2"/>
      <c r="G155" s="2"/>
      <c r="H155" s="2"/>
      <c r="I155" s="2"/>
      <c r="J155" s="2"/>
      <c r="K155" s="2"/>
    </row>
    <row r="156" customFormat="false" ht="15" hidden="false" customHeight="true" outlineLevel="0" collapsed="false">
      <c r="A156" s="6" t="s">
        <v>240</v>
      </c>
      <c r="B156" s="29" t="n">
        <f aca="false">SUM(B150:B155)</f>
        <v>51.668409</v>
      </c>
      <c r="C156" s="30" t="n">
        <f aca="false">SUM(C150:C155)</f>
        <v>67.410286</v>
      </c>
      <c r="D156" s="30" t="n">
        <f aca="false">SUM(D150:D155)</f>
        <v>82.061731</v>
      </c>
      <c r="E156" s="2"/>
      <c r="F156" s="2"/>
      <c r="G156" s="2"/>
      <c r="H156" s="2"/>
      <c r="I156" s="2"/>
      <c r="J156" s="2"/>
      <c r="K156" s="2"/>
    </row>
    <row r="157" customFormat="false" ht="15" hidden="false" customHeight="true" outlineLevel="0" collapsed="false">
      <c r="A157" s="6" t="s">
        <v>241</v>
      </c>
      <c r="B157" s="31" t="n">
        <f aca="false">B156*Inputs!$B$148</f>
        <v>36.9393665544112</v>
      </c>
      <c r="C157" s="32" t="n">
        <f aca="false">C156*Inputs!$B$148</f>
        <v>48.1937282816604</v>
      </c>
      <c r="D157" s="32" t="n">
        <f aca="false">D156*Inputs!$B$148</f>
        <v>58.6685059626762</v>
      </c>
      <c r="E157" s="15" t="s">
        <v>242</v>
      </c>
      <c r="F157" s="2"/>
      <c r="G157" s="2"/>
      <c r="H157" s="2"/>
      <c r="I157" s="2"/>
      <c r="J157" s="2"/>
      <c r="K157" s="2"/>
    </row>
    <row r="158" customFormat="false" ht="15" hidden="false" customHeight="true" outlineLevel="0" collapsed="false">
      <c r="A158" s="10" t="s">
        <v>243</v>
      </c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customFormat="false" ht="15" hidden="false" customHeight="true" outlineLevel="0" collapsed="false">
      <c r="A159" s="13" t="s">
        <v>244</v>
      </c>
      <c r="B159" s="17" t="n">
        <v>0.1</v>
      </c>
      <c r="C159" s="15" t="s">
        <v>36</v>
      </c>
      <c r="D159" s="15" t="s">
        <v>136</v>
      </c>
      <c r="E159" s="2"/>
      <c r="F159" s="2"/>
      <c r="G159" s="2"/>
      <c r="H159" s="2"/>
      <c r="I159" s="2"/>
      <c r="J159" s="2"/>
      <c r="K159" s="2"/>
    </row>
    <row r="160" customFormat="false" ht="15" hidden="false" customHeight="true" outlineLevel="0" collapsed="false">
      <c r="A160" s="13" t="s">
        <v>245</v>
      </c>
      <c r="B160" s="20" t="n">
        <v>9.7</v>
      </c>
      <c r="C160" s="15" t="s">
        <v>56</v>
      </c>
      <c r="D160" s="15" t="s">
        <v>136</v>
      </c>
      <c r="E160" s="2"/>
      <c r="F160" s="2"/>
      <c r="G160" s="2"/>
      <c r="H160" s="2"/>
      <c r="I160" s="2"/>
      <c r="J160" s="2"/>
      <c r="K160" s="2"/>
    </row>
    <row r="161" customFormat="false" ht="15" hidden="false" customHeight="true" outlineLevel="0" collapsed="false">
      <c r="A161" s="13" t="s">
        <v>246</v>
      </c>
      <c r="B161" s="17" t="n">
        <v>0.0313</v>
      </c>
      <c r="C161" s="15" t="s">
        <v>36</v>
      </c>
      <c r="D161" s="15" t="s">
        <v>247</v>
      </c>
      <c r="E161" s="2"/>
      <c r="F161" s="2"/>
      <c r="G161" s="2"/>
      <c r="H161" s="2"/>
      <c r="I161" s="2"/>
      <c r="J161" s="2"/>
      <c r="K161" s="2"/>
    </row>
    <row r="162" customFormat="false" ht="15" hidden="false" customHeight="true" outlineLevel="0" collapsed="false">
      <c r="A162" s="11" t="s">
        <v>248</v>
      </c>
      <c r="B162" s="12"/>
      <c r="C162" s="12"/>
      <c r="D162" s="12"/>
      <c r="E162" s="2"/>
      <c r="F162" s="2"/>
      <c r="G162" s="2"/>
      <c r="H162" s="2"/>
      <c r="I162" s="2"/>
      <c r="J162" s="2"/>
      <c r="K162" s="2"/>
    </row>
    <row r="163" customFormat="false" ht="15" hidden="false" customHeight="true" outlineLevel="0" collapsed="false">
      <c r="A163" s="13" t="s">
        <v>249</v>
      </c>
      <c r="B163" s="20" t="n">
        <v>6.5</v>
      </c>
      <c r="C163" s="15" t="s">
        <v>56</v>
      </c>
      <c r="D163" s="15" t="s">
        <v>250</v>
      </c>
      <c r="E163" s="2"/>
      <c r="F163" s="2"/>
      <c r="G163" s="2"/>
      <c r="H163" s="2"/>
      <c r="I163" s="2"/>
      <c r="J163" s="2"/>
      <c r="K163" s="2"/>
    </row>
    <row r="164" customFormat="false" ht="15" hidden="false" customHeight="true" outlineLevel="0" collapsed="false">
      <c r="A164" s="13" t="s">
        <v>251</v>
      </c>
      <c r="B164" s="20" t="n">
        <v>5</v>
      </c>
      <c r="C164" s="15" t="s">
        <v>56</v>
      </c>
      <c r="D164" s="15" t="s">
        <v>136</v>
      </c>
      <c r="E164" s="2"/>
      <c r="F164" s="2"/>
      <c r="G164" s="2"/>
      <c r="H164" s="2"/>
      <c r="I164" s="2"/>
      <c r="J164" s="2"/>
      <c r="K164" s="2"/>
    </row>
    <row r="165" customFormat="false" ht="15" hidden="false" customHeight="true" outlineLevel="0" collapsed="false">
      <c r="A165" s="13" t="s">
        <v>252</v>
      </c>
      <c r="B165" s="17" t="n">
        <v>0.5</v>
      </c>
      <c r="C165" s="15" t="s">
        <v>36</v>
      </c>
      <c r="D165" s="15" t="s">
        <v>253</v>
      </c>
      <c r="E165" s="2"/>
      <c r="F165" s="2"/>
      <c r="G165" s="2"/>
      <c r="H165" s="2"/>
      <c r="I165" s="2"/>
      <c r="J165" s="2"/>
      <c r="K165" s="2"/>
    </row>
    <row r="166" customFormat="false" ht="15" hidden="false" customHeight="true" outlineLevel="0" collapsed="false">
      <c r="A166" s="13" t="s">
        <v>254</v>
      </c>
      <c r="B166" s="17" t="n">
        <v>0.025</v>
      </c>
      <c r="C166" s="15" t="s">
        <v>36</v>
      </c>
      <c r="D166" s="15" t="s">
        <v>216</v>
      </c>
      <c r="E166" s="2"/>
      <c r="F166" s="2"/>
      <c r="G166" s="2"/>
      <c r="H166" s="2"/>
      <c r="I166" s="2"/>
      <c r="J166" s="2"/>
      <c r="K166" s="2"/>
    </row>
    <row r="167" customFormat="false" ht="15" hidden="false" customHeight="true" outlineLevel="0" collapsed="false">
      <c r="A167" s="13" t="s">
        <v>255</v>
      </c>
      <c r="B167" s="20" t="n">
        <v>2.389582</v>
      </c>
      <c r="C167" s="15" t="s">
        <v>56</v>
      </c>
      <c r="D167" s="15" t="s">
        <v>256</v>
      </c>
      <c r="E167" s="2"/>
      <c r="F167" s="2"/>
      <c r="G167" s="2"/>
      <c r="H167" s="2"/>
      <c r="I167" s="2"/>
      <c r="J167" s="2"/>
      <c r="K167" s="2"/>
    </row>
    <row r="168" customFormat="false" ht="15" hidden="false" customHeight="true" outlineLevel="0" collapsed="false">
      <c r="A168" s="13" t="s">
        <v>257</v>
      </c>
      <c r="B168" s="33" t="n">
        <v>2028.25</v>
      </c>
      <c r="C168" s="15" t="s">
        <v>101</v>
      </c>
      <c r="D168" s="15" t="s">
        <v>258</v>
      </c>
      <c r="E168" s="2"/>
      <c r="F168" s="2"/>
      <c r="G168" s="2"/>
      <c r="H168" s="2"/>
      <c r="I168" s="2"/>
      <c r="J168" s="2"/>
      <c r="K168" s="2"/>
    </row>
    <row r="169" customFormat="false" ht="15" hidden="false" customHeight="true" outlineLevel="0" collapsed="false">
      <c r="A169" s="13" t="s">
        <v>259</v>
      </c>
      <c r="B169" s="17" t="n">
        <v>0.02</v>
      </c>
      <c r="C169" s="15" t="s">
        <v>36</v>
      </c>
      <c r="D169" s="15" t="s">
        <v>260</v>
      </c>
      <c r="E169" s="2"/>
      <c r="F169" s="2"/>
      <c r="G169" s="2"/>
      <c r="H169" s="2"/>
      <c r="I169" s="2"/>
      <c r="J169" s="2"/>
      <c r="K169" s="2"/>
    </row>
    <row r="170" customFormat="false" ht="15" hidden="false" customHeight="true" outlineLevel="0" collapsed="false">
      <c r="A170" s="13" t="s">
        <v>261</v>
      </c>
      <c r="B170" s="17" t="n">
        <v>0.025</v>
      </c>
      <c r="C170" s="15" t="s">
        <v>36</v>
      </c>
      <c r="D170" s="15" t="s">
        <v>262</v>
      </c>
      <c r="E170" s="2"/>
      <c r="F170" s="2"/>
      <c r="G170" s="2"/>
      <c r="H170" s="2"/>
      <c r="I170" s="2"/>
      <c r="J170" s="2"/>
      <c r="K170" s="2"/>
    </row>
    <row r="171" customFormat="false" ht="15" hidden="false" customHeight="true" outlineLevel="0" collapsed="false">
      <c r="A171" s="13" t="s">
        <v>263</v>
      </c>
      <c r="B171" s="23" t="n">
        <v>45</v>
      </c>
      <c r="C171" s="15" t="s">
        <v>32</v>
      </c>
      <c r="D171" s="15" t="s">
        <v>264</v>
      </c>
      <c r="E171" s="2"/>
      <c r="F171" s="2"/>
      <c r="G171" s="2"/>
      <c r="H171" s="2"/>
      <c r="I171" s="2"/>
      <c r="J171" s="2"/>
      <c r="K171" s="2"/>
    </row>
    <row r="172" customFormat="false" ht="15" hidden="false" customHeight="true" outlineLevel="0" collapsed="false">
      <c r="A172" s="13" t="s">
        <v>265</v>
      </c>
      <c r="B172" s="23" t="n">
        <v>10</v>
      </c>
      <c r="C172" s="15" t="s">
        <v>32</v>
      </c>
      <c r="D172" s="15" t="s">
        <v>266</v>
      </c>
      <c r="E172" s="2"/>
      <c r="F172" s="2"/>
      <c r="G172" s="2"/>
      <c r="H172" s="2"/>
      <c r="I172" s="2"/>
      <c r="J172" s="2"/>
      <c r="K172" s="2"/>
    </row>
    <row r="173" customFormat="false" ht="15" hidden="false" customHeight="true" outlineLevel="0" collapsed="false">
      <c r="A173" s="13" t="s">
        <v>267</v>
      </c>
      <c r="B173" s="17" t="n">
        <v>0.2</v>
      </c>
      <c r="C173" s="15" t="s">
        <v>36</v>
      </c>
      <c r="D173" s="15" t="s">
        <v>268</v>
      </c>
      <c r="E173" s="2"/>
      <c r="F173" s="2"/>
      <c r="G173" s="2"/>
      <c r="H173" s="2"/>
      <c r="I173" s="2"/>
      <c r="J173" s="2"/>
      <c r="K173" s="2"/>
    </row>
    <row r="174" customFormat="false" ht="15" hidden="false" customHeight="true" outlineLevel="0" collapsed="false">
      <c r="A174" s="11" t="s">
        <v>269</v>
      </c>
      <c r="B174" s="12"/>
      <c r="C174" s="12"/>
      <c r="D174" s="12"/>
      <c r="E174" s="2"/>
      <c r="F174" s="2"/>
      <c r="G174" s="2"/>
      <c r="H174" s="2"/>
      <c r="I174" s="2"/>
      <c r="J174" s="2"/>
      <c r="K174" s="2"/>
    </row>
    <row r="175" customFormat="false" ht="15" hidden="false" customHeight="true" outlineLevel="0" collapsed="false">
      <c r="A175" s="13" t="s">
        <v>270</v>
      </c>
      <c r="B175" s="17" t="n">
        <v>0.13</v>
      </c>
      <c r="C175" s="15" t="s">
        <v>36</v>
      </c>
      <c r="D175" s="15" t="s">
        <v>136</v>
      </c>
      <c r="E175" s="2"/>
      <c r="F175" s="2"/>
      <c r="G175" s="2"/>
      <c r="H175" s="2"/>
      <c r="I175" s="2"/>
      <c r="J175" s="2"/>
      <c r="K175" s="2"/>
    </row>
    <row r="176" customFormat="false" ht="15" hidden="false" customHeight="true" outlineLevel="0" collapsed="false">
      <c r="A176" s="13" t="s">
        <v>271</v>
      </c>
      <c r="B176" s="22" t="n">
        <v>2040</v>
      </c>
      <c r="C176" s="15" t="s">
        <v>101</v>
      </c>
      <c r="D176" s="15" t="s">
        <v>272</v>
      </c>
      <c r="E176" s="2"/>
      <c r="F176" s="2"/>
      <c r="G176" s="2"/>
      <c r="H176" s="2"/>
      <c r="I176" s="2"/>
      <c r="J176" s="2"/>
      <c r="K176" s="2"/>
    </row>
    <row r="177" customFormat="false" ht="15" hidden="false" customHeight="true" outlineLevel="0" collapsed="false">
      <c r="A177" s="13" t="s">
        <v>273</v>
      </c>
      <c r="B177" s="34" t="n">
        <v>0.1</v>
      </c>
      <c r="C177" s="15" t="s">
        <v>36</v>
      </c>
      <c r="D177" s="15" t="s">
        <v>272</v>
      </c>
      <c r="E177" s="2"/>
      <c r="F177" s="2"/>
      <c r="G177" s="2"/>
      <c r="H177" s="2"/>
      <c r="I177" s="2"/>
      <c r="J177" s="2"/>
      <c r="K177" s="2"/>
    </row>
    <row r="178" customFormat="false" ht="15" hidden="false" customHeight="true" outlineLevel="0" collapsed="false">
      <c r="A178" s="13" t="s">
        <v>274</v>
      </c>
      <c r="B178" s="34" t="n">
        <v>0.1</v>
      </c>
      <c r="C178" s="15" t="s">
        <v>36</v>
      </c>
      <c r="D178" s="15" t="s">
        <v>275</v>
      </c>
      <c r="E178" s="2"/>
      <c r="F178" s="2"/>
      <c r="G178" s="2"/>
      <c r="H178" s="2"/>
      <c r="I178" s="2"/>
      <c r="J178" s="2"/>
      <c r="K178" s="2"/>
    </row>
    <row r="179" customFormat="false" ht="15" hidden="false" customHeight="true" outlineLevel="0" collapsed="false">
      <c r="A179" s="11" t="s">
        <v>276</v>
      </c>
      <c r="B179" s="12"/>
      <c r="C179" s="12"/>
      <c r="D179" s="12"/>
      <c r="E179" s="2"/>
      <c r="F179" s="2"/>
      <c r="G179" s="2"/>
      <c r="H179" s="2"/>
      <c r="I179" s="2"/>
      <c r="J179" s="2"/>
      <c r="K179" s="2"/>
    </row>
    <row r="180" customFormat="false" ht="15" hidden="false" customHeight="true" outlineLevel="0" collapsed="false">
      <c r="A180" s="13" t="s">
        <v>277</v>
      </c>
      <c r="B180" s="23" t="n">
        <v>205365</v>
      </c>
      <c r="C180" s="15" t="s">
        <v>223</v>
      </c>
      <c r="D180" s="15" t="s">
        <v>278</v>
      </c>
      <c r="E180" s="2"/>
      <c r="F180" s="2"/>
      <c r="G180" s="2"/>
      <c r="H180" s="2"/>
      <c r="I180" s="2"/>
      <c r="J180" s="2"/>
      <c r="K180" s="2"/>
    </row>
    <row r="181" customFormat="false" ht="15" hidden="false" customHeight="true" outlineLevel="0" collapsed="false">
      <c r="A181" s="13" t="s">
        <v>279</v>
      </c>
      <c r="B181" s="23" t="n">
        <v>245337</v>
      </c>
      <c r="C181" s="15" t="s">
        <v>223</v>
      </c>
      <c r="D181" s="15" t="s">
        <v>280</v>
      </c>
      <c r="E181" s="2"/>
      <c r="F181" s="2"/>
      <c r="G181" s="2"/>
      <c r="H181" s="2"/>
      <c r="I181" s="2"/>
      <c r="J181" s="2"/>
      <c r="K181" s="2"/>
    </row>
    <row r="182" customFormat="false" ht="15" hidden="false" customHeight="true" outlineLevel="0" collapsed="false">
      <c r="A182" s="13" t="s">
        <v>281</v>
      </c>
      <c r="B182" s="20" t="n">
        <v>16.5</v>
      </c>
      <c r="C182" s="15" t="s">
        <v>282</v>
      </c>
      <c r="D182" s="15" t="s">
        <v>283</v>
      </c>
      <c r="E182" s="2"/>
      <c r="F182" s="2"/>
      <c r="G182" s="2"/>
      <c r="H182" s="2"/>
      <c r="I182" s="2"/>
      <c r="J182" s="2"/>
      <c r="K182" s="2"/>
    </row>
    <row r="183" customFormat="false" ht="15" hidden="false" customHeight="true" outlineLevel="0" collapsed="false">
      <c r="A183" s="13" t="s">
        <v>284</v>
      </c>
      <c r="B183" s="20" t="n">
        <v>71.153209</v>
      </c>
      <c r="C183" s="15" t="s">
        <v>56</v>
      </c>
      <c r="D183" s="15" t="s">
        <v>285</v>
      </c>
      <c r="E183" s="2"/>
      <c r="F183" s="2"/>
      <c r="G183" s="2"/>
      <c r="H183" s="2"/>
      <c r="I183" s="2"/>
      <c r="J183" s="2"/>
      <c r="K183" s="2"/>
    </row>
    <row r="184" customFormat="false" ht="15" hidden="false" customHeight="true" outlineLevel="0" collapsed="false">
      <c r="A184" s="13" t="s">
        <v>286</v>
      </c>
      <c r="B184" s="35" t="n">
        <f aca="false">Inputs!$B$182*Inputs!$B$181/Inputs!$B$180</f>
        <v>19.7115404280184</v>
      </c>
      <c r="C184" s="2" t="s">
        <v>282</v>
      </c>
      <c r="D184" s="2"/>
      <c r="E184" s="2"/>
      <c r="F184" s="2"/>
      <c r="G184" s="2"/>
      <c r="H184" s="2"/>
      <c r="I184" s="2"/>
      <c r="J184" s="2"/>
      <c r="K184" s="2"/>
    </row>
    <row r="185" customFormat="false" ht="15" hidden="false" customHeight="true" outlineLevel="0" collapsed="false">
      <c r="A185" s="6" t="s">
        <v>287</v>
      </c>
      <c r="B185" s="35" t="n">
        <f aca="false">Inputs!$B$183*Inputs!$B$181/Inputs!$B$180</f>
        <v>85.0023851991966</v>
      </c>
      <c r="C185" s="2" t="s">
        <v>56</v>
      </c>
      <c r="D185" s="15" t="s">
        <v>288</v>
      </c>
      <c r="E185" s="2"/>
      <c r="F185" s="2"/>
      <c r="G185" s="2"/>
      <c r="H185" s="2"/>
      <c r="I185" s="2"/>
      <c r="J185" s="2"/>
      <c r="K185" s="2"/>
    </row>
    <row r="186" customFormat="false" ht="15" hidden="false" customHeight="true" outlineLevel="0" collapsed="false">
      <c r="A186" s="11" t="s">
        <v>289</v>
      </c>
      <c r="B186" s="12"/>
      <c r="C186" s="12"/>
      <c r="D186" s="12"/>
      <c r="E186" s="2"/>
      <c r="F186" s="2"/>
      <c r="G186" s="2"/>
      <c r="H186" s="2"/>
      <c r="I186" s="2"/>
      <c r="J186" s="2"/>
      <c r="K186" s="2"/>
    </row>
    <row r="187" customFormat="false" ht="15" hidden="false" customHeight="true" outlineLevel="0" collapsed="false">
      <c r="A187" s="13" t="s">
        <v>290</v>
      </c>
      <c r="B187" s="36" t="n">
        <v>1</v>
      </c>
      <c r="C187" s="15" t="s">
        <v>36</v>
      </c>
      <c r="D187" s="15" t="s">
        <v>291</v>
      </c>
      <c r="E187" s="2"/>
      <c r="F187" s="2"/>
      <c r="G187" s="2"/>
      <c r="H187" s="2"/>
      <c r="I187" s="2"/>
      <c r="J187" s="2"/>
      <c r="K187" s="2"/>
    </row>
    <row r="188" customFormat="false" ht="15" hidden="false" customHeight="true" outlineLevel="0" collapsed="false">
      <c r="A188" s="13" t="s">
        <v>292</v>
      </c>
      <c r="B188" s="34" t="n">
        <v>0.065</v>
      </c>
      <c r="C188" s="15" t="s">
        <v>36</v>
      </c>
      <c r="D188" s="15" t="s">
        <v>293</v>
      </c>
      <c r="E188" s="2"/>
      <c r="F188" s="2"/>
      <c r="G188" s="2"/>
      <c r="H188" s="2"/>
      <c r="I188" s="2"/>
      <c r="J188" s="2"/>
      <c r="K188" s="2"/>
    </row>
    <row r="189" customFormat="false" ht="15" hidden="false" customHeight="true" outlineLevel="0" collapsed="false">
      <c r="A189" s="13" t="s">
        <v>294</v>
      </c>
      <c r="B189" s="16" t="n">
        <v>4</v>
      </c>
      <c r="C189" s="15" t="s">
        <v>32</v>
      </c>
      <c r="D189" s="15" t="s">
        <v>295</v>
      </c>
      <c r="E189" s="2"/>
      <c r="F189" s="2"/>
      <c r="G189" s="2"/>
      <c r="H189" s="2"/>
      <c r="I189" s="2"/>
      <c r="J189" s="2"/>
      <c r="K189" s="2"/>
    </row>
    <row r="190" customFormat="false" ht="15" hidden="false" customHeight="true" outlineLevel="0" collapsed="false">
      <c r="A190" s="13" t="s">
        <v>296</v>
      </c>
      <c r="B190" s="16" t="n">
        <v>16</v>
      </c>
      <c r="C190" s="15" t="s">
        <v>32</v>
      </c>
      <c r="D190" s="15" t="s">
        <v>293</v>
      </c>
      <c r="E190" s="2"/>
      <c r="F190" s="2"/>
      <c r="G190" s="2"/>
      <c r="H190" s="2"/>
      <c r="I190" s="2"/>
      <c r="J190" s="2"/>
      <c r="K190" s="2"/>
    </row>
    <row r="191" customFormat="false" ht="15" hidden="false" customHeight="true" outlineLevel="0" collapsed="false">
      <c r="A191" s="13" t="s">
        <v>297</v>
      </c>
      <c r="B191" s="14" t="n">
        <v>1</v>
      </c>
      <c r="C191" s="15" t="s">
        <v>25</v>
      </c>
      <c r="D191" s="15" t="s">
        <v>298</v>
      </c>
      <c r="E191" s="2"/>
      <c r="F191" s="2"/>
      <c r="G191" s="2"/>
      <c r="H191" s="2"/>
      <c r="I191" s="2"/>
      <c r="J191" s="2"/>
      <c r="K191" s="2"/>
    </row>
    <row r="192" customFormat="false" ht="15" hidden="false" customHeight="true" outlineLevel="0" collapsed="false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customFormat="false" ht="15" hidden="false" customHeight="true" outlineLevel="0" collapsed="false">
      <c r="A193" s="11" t="s">
        <v>299</v>
      </c>
      <c r="B193" s="12"/>
      <c r="C193" s="12"/>
      <c r="D193" s="12"/>
      <c r="E193" s="2"/>
      <c r="F193" s="2"/>
      <c r="G193" s="2"/>
      <c r="H193" s="2"/>
      <c r="I193" s="2"/>
      <c r="J193" s="2"/>
      <c r="K193" s="2"/>
    </row>
    <row r="194" customFormat="false" ht="15" hidden="false" customHeight="true" outlineLevel="0" collapsed="false">
      <c r="A194" s="13" t="s">
        <v>300</v>
      </c>
      <c r="B194" s="23" t="n">
        <v>40000</v>
      </c>
      <c r="C194" s="15" t="s">
        <v>223</v>
      </c>
      <c r="D194" s="15" t="s">
        <v>301</v>
      </c>
      <c r="E194" s="2"/>
      <c r="F194" s="2"/>
      <c r="G194" s="2"/>
      <c r="H194" s="2"/>
      <c r="I194" s="2"/>
      <c r="J194" s="2"/>
      <c r="K194" s="2"/>
    </row>
    <row r="195" customFormat="false" ht="15" hidden="false" customHeight="true" outlineLevel="0" collapsed="false">
      <c r="A195" s="13" t="s">
        <v>302</v>
      </c>
      <c r="B195" s="23" t="n">
        <v>18050</v>
      </c>
      <c r="C195" s="15" t="s">
        <v>223</v>
      </c>
      <c r="D195" s="15" t="s">
        <v>303</v>
      </c>
      <c r="E195" s="2"/>
      <c r="F195" s="2"/>
      <c r="G195" s="2"/>
      <c r="H195" s="2"/>
      <c r="I195" s="2"/>
      <c r="J195" s="2"/>
      <c r="K195" s="2"/>
    </row>
    <row r="196" customFormat="false" ht="15" hidden="false" customHeight="true" outlineLevel="0" collapsed="false">
      <c r="A196" s="13" t="s">
        <v>304</v>
      </c>
      <c r="B196" s="23" t="n">
        <v>48467</v>
      </c>
      <c r="C196" s="15" t="s">
        <v>223</v>
      </c>
      <c r="D196" s="15" t="s">
        <v>305</v>
      </c>
      <c r="E196" s="2"/>
      <c r="F196" s="2"/>
      <c r="G196" s="2"/>
      <c r="H196" s="2"/>
      <c r="I196" s="2"/>
      <c r="J196" s="2"/>
      <c r="K196" s="2"/>
    </row>
    <row r="197" customFormat="false" ht="15" hidden="false" customHeight="true" outlineLevel="0" collapsed="false">
      <c r="A197" s="13" t="s">
        <v>306</v>
      </c>
      <c r="B197" s="17" t="n">
        <v>0.1</v>
      </c>
      <c r="C197" s="15" t="s">
        <v>36</v>
      </c>
      <c r="D197" s="15" t="s">
        <v>307</v>
      </c>
      <c r="E197" s="2"/>
      <c r="F197" s="2"/>
      <c r="G197" s="2"/>
      <c r="H197" s="2"/>
      <c r="I197" s="2"/>
      <c r="J197" s="2"/>
      <c r="K197" s="2"/>
    </row>
    <row r="198" customFormat="false" ht="15" hidden="false" customHeight="true" outlineLevel="0" collapsed="false">
      <c r="A198" s="13" t="s">
        <v>308</v>
      </c>
      <c r="B198" s="23" t="n">
        <v>78</v>
      </c>
      <c r="C198" s="15" t="s">
        <v>119</v>
      </c>
      <c r="D198" s="15" t="s">
        <v>309</v>
      </c>
      <c r="E198" s="2"/>
      <c r="F198" s="2"/>
      <c r="G198" s="2"/>
      <c r="H198" s="2"/>
      <c r="I198" s="2"/>
      <c r="J198" s="2"/>
      <c r="K198" s="2"/>
    </row>
    <row r="199" customFormat="false" ht="15" hidden="false" customHeight="true" outlineLevel="0" collapsed="false">
      <c r="A199" s="13" t="s">
        <v>310</v>
      </c>
      <c r="B199" s="19" t="n">
        <f aca="false">Inputs!$B$147</f>
        <v>38597</v>
      </c>
      <c r="C199" s="15" t="s">
        <v>223</v>
      </c>
      <c r="D199" s="15" t="s">
        <v>311</v>
      </c>
      <c r="E199" s="2"/>
      <c r="F199" s="2"/>
      <c r="G199" s="2"/>
      <c r="H199" s="2"/>
      <c r="I199" s="2"/>
      <c r="J199" s="2"/>
      <c r="K199" s="2"/>
    </row>
    <row r="200" customFormat="false" ht="15" hidden="false" customHeight="true" outlineLevel="0" collapsed="false">
      <c r="A200" s="13" t="s">
        <v>312</v>
      </c>
      <c r="B200" s="18" t="n">
        <v>1</v>
      </c>
      <c r="C200" s="15" t="s">
        <v>43</v>
      </c>
      <c r="D200" s="15" t="s">
        <v>313</v>
      </c>
      <c r="E200" s="2"/>
      <c r="F200" s="2"/>
      <c r="G200" s="2"/>
      <c r="H200" s="2"/>
      <c r="I200" s="2"/>
      <c r="J200" s="2"/>
      <c r="K200" s="2"/>
    </row>
    <row r="201" customFormat="false" ht="15" hidden="false" customHeight="true" outlineLevel="0" collapsed="false">
      <c r="A201" s="13" t="s">
        <v>314</v>
      </c>
      <c r="B201" s="17" t="n">
        <v>0.2</v>
      </c>
      <c r="C201" s="15" t="s">
        <v>36</v>
      </c>
      <c r="D201" s="15" t="s">
        <v>315</v>
      </c>
      <c r="E201" s="2"/>
      <c r="F201" s="2"/>
      <c r="G201" s="2"/>
      <c r="H201" s="2"/>
      <c r="I201" s="2"/>
      <c r="J201" s="2"/>
      <c r="K201" s="2"/>
    </row>
    <row r="202" customFormat="false" ht="15" hidden="false" customHeight="true" outlineLevel="0" collapsed="false">
      <c r="A202" s="13" t="s">
        <v>316</v>
      </c>
      <c r="B202" s="17" t="n">
        <v>0.55</v>
      </c>
      <c r="C202" s="15" t="s">
        <v>36</v>
      </c>
      <c r="D202" s="15" t="s">
        <v>39</v>
      </c>
      <c r="E202" s="2"/>
      <c r="F202" s="2"/>
      <c r="G202" s="2"/>
      <c r="H202" s="2"/>
      <c r="I202" s="2"/>
      <c r="J202" s="2"/>
      <c r="K202" s="2"/>
    </row>
    <row r="203" customFormat="false" ht="15" hidden="false" customHeight="true" outlineLevel="0" collapsed="false">
      <c r="A203" s="13" t="s">
        <v>317</v>
      </c>
      <c r="B203" s="17" t="n">
        <v>0.25</v>
      </c>
      <c r="C203" s="15" t="s">
        <v>36</v>
      </c>
      <c r="D203" s="15" t="s">
        <v>318</v>
      </c>
      <c r="E203" s="2"/>
      <c r="F203" s="2"/>
      <c r="G203" s="2"/>
      <c r="H203" s="2"/>
      <c r="I203" s="2"/>
      <c r="J203" s="2"/>
      <c r="K203" s="2"/>
    </row>
    <row r="204" customFormat="false" ht="15" hidden="false" customHeight="true" outlineLevel="0" collapsed="false">
      <c r="A204" s="10" t="s">
        <v>319</v>
      </c>
      <c r="B204" s="2"/>
      <c r="C204" s="2"/>
      <c r="D204" s="2"/>
      <c r="E204" s="2"/>
      <c r="F204" s="2"/>
      <c r="G204" s="2"/>
      <c r="H204" s="2"/>
      <c r="I204" s="2"/>
      <c r="J204" s="2"/>
      <c r="K204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2"/>
    <col collapsed="false" customWidth="true" hidden="false" outlineLevel="0" max="7" min="2" style="1" width="18"/>
  </cols>
  <sheetData>
    <row r="1" customFormat="false" ht="17.25" hidden="false" customHeight="true" outlineLevel="0" collapsed="false">
      <c r="A1" s="8" t="s">
        <v>320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customFormat="false" ht="15" hidden="false" customHeight="true" outlineLevel="0" collapsed="false">
      <c r="A2" s="10" t="s">
        <v>321</v>
      </c>
    </row>
    <row r="4" customFormat="false" ht="15" hidden="false" customHeight="true" outlineLevel="0" collapsed="false">
      <c r="A4" s="38" t="s">
        <v>63</v>
      </c>
      <c r="B4" s="39" t="s">
        <v>322</v>
      </c>
      <c r="C4" s="39" t="s">
        <v>323</v>
      </c>
      <c r="D4" s="39" t="s">
        <v>324</v>
      </c>
      <c r="E4" s="39" t="s">
        <v>325</v>
      </c>
      <c r="F4" s="39" t="s">
        <v>326</v>
      </c>
      <c r="G4" s="39" t="s">
        <v>327</v>
      </c>
    </row>
    <row r="5" customFormat="false" ht="15" hidden="false" customHeight="true" outlineLevel="0" collapsed="false">
      <c r="A5" s="13" t="s">
        <v>67</v>
      </c>
      <c r="B5" s="40" t="n">
        <f aca="false">SUM(Inputs!$B$26:$D$26)</f>
        <v>130</v>
      </c>
      <c r="C5" s="40" t="n">
        <f aca="false">'Comp - Retail'!$C$6</f>
        <v>48.8405541162444</v>
      </c>
      <c r="D5" s="40" t="n">
        <f aca="false">'Comp - Centre'!$C$6</f>
        <v>12.5653474281101</v>
      </c>
      <c r="E5" s="40" t="n">
        <f aca="false">'Comp - Hotel'!$C$6</f>
        <v>48.8184984556456</v>
      </c>
      <c r="F5" s="21" t="n">
        <f aca="false">SUM(C5:E5)</f>
        <v>110.2244</v>
      </c>
      <c r="G5" s="41" t="n">
        <f aca="false">F5-B5</f>
        <v>-19.7756</v>
      </c>
    </row>
    <row r="6" customFormat="false" ht="15" hidden="false" customHeight="true" outlineLevel="0" collapsed="false">
      <c r="A6" s="13" t="s">
        <v>68</v>
      </c>
      <c r="B6" s="40" t="n">
        <f aca="false">SUM(Inputs!$B$27:$D$27)</f>
        <v>120</v>
      </c>
      <c r="C6" s="40" t="n">
        <f aca="false">'Comp - Retail'!$C$7</f>
        <v>45.0835884149948</v>
      </c>
      <c r="D6" s="40" t="n">
        <f aca="false">'Comp - Centre'!$C$7</f>
        <v>11.5987822413324</v>
      </c>
      <c r="E6" s="40" t="n">
        <f aca="false">'Comp - Hotel'!$C$7</f>
        <v>45.0632293436728</v>
      </c>
      <c r="F6" s="21" t="n">
        <f aca="false">SUM(C6:E6)</f>
        <v>101.7456</v>
      </c>
      <c r="G6" s="41" t="n">
        <f aca="false">F6-B6</f>
        <v>-18.2544</v>
      </c>
    </row>
    <row r="7" customFormat="false" ht="15" hidden="false" customHeight="true" outlineLevel="0" collapsed="false">
      <c r="A7" s="13" t="s">
        <v>69</v>
      </c>
      <c r="B7" s="40" t="n">
        <f aca="false">SUM(Inputs!$B$28:$D$28)</f>
        <v>70</v>
      </c>
      <c r="C7" s="40" t="n">
        <f aca="false">'Comp - Retail'!$C$8</f>
        <v>31.851159908747</v>
      </c>
      <c r="D7" s="40" t="n">
        <f aca="false">'Comp - Centre'!$C$8</f>
        <v>11.8619563074439</v>
      </c>
      <c r="E7" s="40" t="n">
        <f aca="false">'Comp - Hotel'!$C$8</f>
        <v>26.2868837838092</v>
      </c>
      <c r="F7" s="21" t="n">
        <f aca="false">SUM(C7:E7)</f>
        <v>70</v>
      </c>
      <c r="G7" s="41" t="n">
        <f aca="false">F7-B7</f>
        <v>0</v>
      </c>
    </row>
    <row r="8" customFormat="false" ht="15" hidden="false" customHeight="true" outlineLevel="0" collapsed="false">
      <c r="A8" s="13" t="s">
        <v>70</v>
      </c>
      <c r="B8" s="40" t="n">
        <f aca="false">SUM(Inputs!$B$29:$D$29)</f>
        <v>65.1</v>
      </c>
      <c r="C8" s="40" t="n">
        <f aca="false">'Comp - Retail'!$C$9</f>
        <v>29.6215787151347</v>
      </c>
      <c r="D8" s="40" t="n">
        <f aca="false">'Comp - Centre'!$C$9</f>
        <v>11.0316193659228</v>
      </c>
      <c r="E8" s="40" t="n">
        <f aca="false">'Comp - Hotel'!$C$9</f>
        <v>24.4468019189425</v>
      </c>
      <c r="F8" s="21" t="n">
        <f aca="false">SUM(C8:E8)</f>
        <v>65.1</v>
      </c>
      <c r="G8" s="41" t="n">
        <f aca="false">F8-B8</f>
        <v>0</v>
      </c>
    </row>
    <row r="9" customFormat="false" ht="15" hidden="false" customHeight="true" outlineLevel="0" collapsed="false">
      <c r="A9" s="13" t="s">
        <v>328</v>
      </c>
      <c r="B9" s="40" t="n">
        <f aca="false">SUM(Inputs!$B$30:$D$30)</f>
        <v>50</v>
      </c>
      <c r="C9" s="40" t="n">
        <f aca="false">'Comp - Retail'!$C$10</f>
        <v>0</v>
      </c>
      <c r="D9" s="40" t="n">
        <f aca="false">'Comp - Centre'!$C$10</f>
        <v>0</v>
      </c>
      <c r="E9" s="40" t="n">
        <f aca="false">'Comp - Hotel'!$C$10</f>
        <v>35</v>
      </c>
      <c r="F9" s="21" t="n">
        <f aca="false">SUM(C9:E9)</f>
        <v>35</v>
      </c>
      <c r="G9" s="41" t="n">
        <f aca="false">F9-B9</f>
        <v>-15</v>
      </c>
    </row>
    <row r="10" customFormat="false" ht="15" hidden="false" customHeight="true" outlineLevel="0" collapsed="false">
      <c r="A10" s="13" t="s">
        <v>72</v>
      </c>
      <c r="B10" s="40" t="n">
        <f aca="false">SUM(Inputs!$B$31:$D$31)</f>
        <v>60</v>
      </c>
      <c r="C10" s="40" t="n">
        <f aca="false">'Comp - Retail'!$C$11</f>
        <v>0</v>
      </c>
      <c r="D10" s="40" t="n">
        <f aca="false">'Comp - Centre'!$C$11</f>
        <v>60</v>
      </c>
      <c r="E10" s="40" t="n">
        <f aca="false">'Comp - Hotel'!$C$11</f>
        <v>0</v>
      </c>
      <c r="F10" s="21" t="n">
        <f aca="false">SUM(C10:E10)</f>
        <v>60</v>
      </c>
      <c r="G10" s="41" t="n">
        <f aca="false">F10-B10</f>
        <v>0</v>
      </c>
    </row>
    <row r="11" customFormat="false" ht="15" hidden="false" customHeight="true" outlineLevel="0" collapsed="false">
      <c r="A11" s="13" t="s">
        <v>73</v>
      </c>
      <c r="B11" s="40" t="n">
        <f aca="false">SUM(Inputs!$B$32:$D$32)</f>
        <v>11</v>
      </c>
      <c r="C11" s="40" t="n">
        <f aca="false">'Comp - Retail'!$C$12</f>
        <v>5.00518227137452</v>
      </c>
      <c r="D11" s="40" t="n">
        <f aca="false">'Comp - Centre'!$C$12</f>
        <v>1.86402170545547</v>
      </c>
      <c r="E11" s="40" t="n">
        <f aca="false">'Comp - Hotel'!$C$12</f>
        <v>4.13079602317001</v>
      </c>
      <c r="F11" s="21" t="n">
        <f aca="false">SUM(C11:E11)</f>
        <v>11</v>
      </c>
      <c r="G11" s="41" t="n">
        <f aca="false">F11-B11</f>
        <v>0</v>
      </c>
    </row>
    <row r="12" customFormat="false" ht="15" hidden="false" customHeight="true" outlineLevel="0" collapsed="false">
      <c r="A12" s="13" t="s">
        <v>74</v>
      </c>
      <c r="B12" s="40" t="n">
        <f aca="false">SUM(Inputs!$B$33:$D$33)</f>
        <v>4</v>
      </c>
      <c r="C12" s="40" t="n">
        <f aca="false">'Comp - Retail'!$C$13</f>
        <v>1.82006628049983</v>
      </c>
      <c r="D12" s="40" t="n">
        <f aca="false">'Comp - Centre'!$C$13</f>
        <v>0.677826074711079</v>
      </c>
      <c r="E12" s="40" t="n">
        <f aca="false">'Comp - Hotel'!$C$13</f>
        <v>1.50210764478909</v>
      </c>
      <c r="F12" s="21" t="n">
        <f aca="false">SUM(C12:E12)</f>
        <v>4</v>
      </c>
      <c r="G12" s="41" t="n">
        <f aca="false">F12-B12</f>
        <v>0</v>
      </c>
    </row>
    <row r="13" customFormat="false" ht="15" hidden="false" customHeight="true" outlineLevel="0" collapsed="false">
      <c r="A13" s="13" t="s">
        <v>75</v>
      </c>
      <c r="B13" s="40" t="n">
        <f aca="false">SUM(Inputs!$B$34:$D$34)</f>
        <v>15</v>
      </c>
      <c r="C13" s="40" t="n">
        <f aca="false">'Comp - Retail'!$C$14</f>
        <v>6.82524855187435</v>
      </c>
      <c r="D13" s="40" t="n">
        <f aca="false">'Comp - Centre'!$C$14</f>
        <v>2.54184778016655</v>
      </c>
      <c r="E13" s="40" t="n">
        <f aca="false">'Comp - Hotel'!$C$14</f>
        <v>5.63290366795911</v>
      </c>
      <c r="F13" s="21" t="n">
        <f aca="false">SUM(C13:E13)</f>
        <v>15</v>
      </c>
      <c r="G13" s="41" t="n">
        <f aca="false">F13-B13</f>
        <v>0</v>
      </c>
    </row>
    <row r="14" customFormat="false" ht="15" hidden="false" customHeight="true" outlineLevel="0" collapsed="false">
      <c r="A14" s="13" t="s">
        <v>76</v>
      </c>
      <c r="B14" s="40" t="n">
        <f aca="false">SUM(Inputs!$B$35:$D$35)</f>
        <v>8</v>
      </c>
      <c r="C14" s="40" t="n">
        <f aca="false">'Comp - Retail'!$C$15</f>
        <v>3.64013256099965</v>
      </c>
      <c r="D14" s="40" t="n">
        <f aca="false">'Comp - Centre'!$C$15</f>
        <v>1.35565214942216</v>
      </c>
      <c r="E14" s="40" t="n">
        <f aca="false">'Comp - Hotel'!$C$15</f>
        <v>3.00421528957819</v>
      </c>
      <c r="F14" s="21" t="n">
        <f aca="false">SUM(C14:E14)</f>
        <v>8</v>
      </c>
      <c r="G14" s="41" t="n">
        <f aca="false">F14-B14</f>
        <v>0</v>
      </c>
    </row>
    <row r="15" customFormat="false" ht="15" hidden="false" customHeight="true" outlineLevel="0" collapsed="false">
      <c r="A15" s="13" t="s">
        <v>77</v>
      </c>
      <c r="B15" s="40" t="n">
        <f aca="false">SUM(Inputs!$B$36:$D$36)</f>
        <v>5</v>
      </c>
      <c r="C15" s="40" t="n">
        <f aca="false">'Comp - Retail'!$C$16</f>
        <v>2.27508285062478</v>
      </c>
      <c r="D15" s="40" t="n">
        <f aca="false">'Comp - Centre'!$C$16</f>
        <v>0.847282593388849</v>
      </c>
      <c r="E15" s="40" t="n">
        <f aca="false">'Comp - Hotel'!$C$16</f>
        <v>1.87763455598637</v>
      </c>
      <c r="F15" s="21" t="n">
        <f aca="false">SUM(C15:E15)</f>
        <v>5</v>
      </c>
      <c r="G15" s="41" t="n">
        <f aca="false">F15-B15</f>
        <v>0</v>
      </c>
    </row>
    <row r="16" customFormat="false" ht="15" hidden="false" customHeight="true" outlineLevel="0" collapsed="false">
      <c r="A16" s="13" t="s">
        <v>78</v>
      </c>
      <c r="B16" s="40" t="n">
        <f aca="false">SUM(Inputs!$B$37:$D$37)</f>
        <v>7</v>
      </c>
      <c r="C16" s="40" t="n">
        <f aca="false">'Comp - Retail'!$C$17</f>
        <v>3.1851159908747</v>
      </c>
      <c r="D16" s="40" t="n">
        <f aca="false">'Comp - Centre'!$C$17</f>
        <v>1.18619563074439</v>
      </c>
      <c r="E16" s="40" t="n">
        <f aca="false">'Comp - Hotel'!$C$17</f>
        <v>2.62868837838092</v>
      </c>
      <c r="F16" s="21" t="n">
        <f aca="false">SUM(C16:E16)</f>
        <v>7</v>
      </c>
      <c r="G16" s="41" t="n">
        <f aca="false">F16-B16</f>
        <v>0</v>
      </c>
    </row>
    <row r="17" customFormat="false" ht="15" hidden="false" customHeight="true" outlineLevel="0" collapsed="false">
      <c r="A17" s="13" t="s">
        <v>79</v>
      </c>
      <c r="B17" s="40" t="n">
        <f aca="false">SUM(Inputs!$B$38:$D$38)</f>
        <v>5</v>
      </c>
      <c r="C17" s="40" t="n">
        <f aca="false">'Comp - Retail'!$C$18</f>
        <v>2.27508285062478</v>
      </c>
      <c r="D17" s="40" t="n">
        <f aca="false">'Comp - Centre'!$C$18</f>
        <v>0.847282593388849</v>
      </c>
      <c r="E17" s="40" t="n">
        <f aca="false">'Comp - Hotel'!$C$18</f>
        <v>1.87763455598637</v>
      </c>
      <c r="F17" s="21" t="n">
        <f aca="false">SUM(C17:E17)</f>
        <v>5</v>
      </c>
      <c r="G17" s="41" t="n">
        <f aca="false">F17-B17</f>
        <v>0</v>
      </c>
    </row>
    <row r="18" customFormat="false" ht="15" hidden="false" customHeight="true" outlineLevel="0" collapsed="false">
      <c r="A18" s="42" t="s">
        <v>329</v>
      </c>
      <c r="B18" s="43" t="n">
        <f aca="false">SUM(B5:B12)</f>
        <v>510.1</v>
      </c>
      <c r="C18" s="44" t="n">
        <f aca="false">'Comp - Retail'!$C$19</f>
        <v>162.222129706995</v>
      </c>
      <c r="D18" s="44" t="n">
        <f aca="false">'Comp - Centre'!$C$19</f>
        <v>109.599553122976</v>
      </c>
      <c r="E18" s="44" t="n">
        <f aca="false">'Comp - Hotel'!$C$19</f>
        <v>185.248317170029</v>
      </c>
      <c r="F18" s="44" t="n">
        <f aca="false">SUM(C18:E18)</f>
        <v>457.07</v>
      </c>
      <c r="G18" s="45" t="n">
        <f aca="false">F18-B18</f>
        <v>-53.03</v>
      </c>
    </row>
    <row r="19" customFormat="false" ht="15" hidden="false" customHeight="true" outlineLevel="0" collapsed="false">
      <c r="A19" s="6" t="s">
        <v>330</v>
      </c>
      <c r="B19" s="40" t="n">
        <f aca="false">SUM(B13:B17)</f>
        <v>40</v>
      </c>
      <c r="C19" s="21" t="n">
        <f aca="false">'Comp - Retail'!$C$20</f>
        <v>18.2006628049983</v>
      </c>
      <c r="D19" s="21" t="n">
        <f aca="false">'Comp - Centre'!$C$20</f>
        <v>6.77826074711079</v>
      </c>
      <c r="E19" s="21" t="n">
        <f aca="false">'Comp - Hotel'!$C$20</f>
        <v>15.0210764478909</v>
      </c>
      <c r="F19" s="21" t="n">
        <f aca="false">SUM(C19:E19)</f>
        <v>40</v>
      </c>
      <c r="G19" s="41" t="n">
        <f aca="false">F19-B19</f>
        <v>0</v>
      </c>
    </row>
    <row r="20" customFormat="false" ht="15" hidden="false" customHeight="true" outlineLevel="0" collapsed="false">
      <c r="A20" s="6" t="s">
        <v>331</v>
      </c>
      <c r="B20" s="20" t="n">
        <v>0</v>
      </c>
      <c r="C20" s="21" t="n">
        <f aca="false">'Comp - Retail'!$C$21</f>
        <v>19.83</v>
      </c>
      <c r="D20" s="21" t="n">
        <f aca="false">'Comp - Centre'!$C$21</f>
        <v>18.2</v>
      </c>
      <c r="E20" s="21" t="n">
        <f aca="false">'Comp - Hotel'!$C$21</f>
        <v>15</v>
      </c>
      <c r="F20" s="21" t="n">
        <f aca="false">SUM(C20:E20)</f>
        <v>53.03</v>
      </c>
      <c r="G20" s="41" t="n">
        <f aca="false">F20-B20</f>
        <v>53.03</v>
      </c>
    </row>
    <row r="21" customFormat="false" ht="15" hidden="false" customHeight="true" outlineLevel="0" collapsed="false">
      <c r="A21" s="42" t="s">
        <v>332</v>
      </c>
      <c r="B21" s="43" t="n">
        <f aca="false">B18+B19+B20</f>
        <v>550.1</v>
      </c>
      <c r="C21" s="44" t="n">
        <f aca="false">'Comp - Retail'!$C$22</f>
        <v>200.252792511993</v>
      </c>
      <c r="D21" s="44" t="n">
        <f aca="false">'Comp - Centre'!$C$22</f>
        <v>134.577813870086</v>
      </c>
      <c r="E21" s="44" t="n">
        <f aca="false">'Comp - Hotel'!$C$22</f>
        <v>215.26939361792</v>
      </c>
      <c r="F21" s="44" t="n">
        <f aca="false">SUM(C21:E21)</f>
        <v>550.1</v>
      </c>
      <c r="G21" s="45" t="n">
        <f aca="false">F21-B21</f>
        <v>0</v>
      </c>
    </row>
    <row r="23" customFormat="false" ht="15" hidden="false" customHeight="true" outlineLevel="0" collapsed="false">
      <c r="A23" s="10" t="s">
        <v>333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Z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6"/>
    <col collapsed="false" customWidth="true" hidden="false" outlineLevel="0" max="2" min="2" style="1" width="26"/>
    <col collapsed="false" customWidth="true" hidden="false" outlineLevel="0" max="3" min="3" style="1" width="11"/>
    <col collapsed="false" customWidth="true" hidden="false" outlineLevel="0" max="52" min="4" style="1" width="9.52"/>
  </cols>
  <sheetData>
    <row r="1" customFormat="false" ht="17.25" hidden="false" customHeight="true" outlineLevel="0" collapsed="false">
      <c r="A1" s="8" t="s">
        <v>334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customFormat="false" ht="15" hidden="false" customHeight="true" outlineLevel="0" collapsed="false">
      <c r="A2" s="10" t="s">
        <v>335</v>
      </c>
    </row>
    <row r="4" customFormat="false" ht="15" hidden="false" customHeight="true" outlineLevel="0" collapsed="false">
      <c r="A4" s="6" t="s">
        <v>336</v>
      </c>
      <c r="B4" s="6" t="s">
        <v>337</v>
      </c>
      <c r="C4" s="46" t="s">
        <v>338</v>
      </c>
      <c r="D4" s="39" t="s">
        <v>64</v>
      </c>
      <c r="E4" s="39" t="s">
        <v>65</v>
      </c>
      <c r="F4" s="39" t="s">
        <v>66</v>
      </c>
      <c r="G4" s="39" t="s">
        <v>339</v>
      </c>
      <c r="H4" s="39" t="s">
        <v>340</v>
      </c>
      <c r="I4" s="39" t="s">
        <v>341</v>
      </c>
      <c r="J4" s="39" t="s">
        <v>342</v>
      </c>
      <c r="K4" s="39" t="s">
        <v>343</v>
      </c>
      <c r="L4" s="39" t="s">
        <v>344</v>
      </c>
      <c r="M4" s="39" t="s">
        <v>345</v>
      </c>
      <c r="N4" s="39" t="s">
        <v>346</v>
      </c>
      <c r="O4" s="39" t="s">
        <v>347</v>
      </c>
      <c r="P4" s="39" t="s">
        <v>348</v>
      </c>
      <c r="Q4" s="39" t="s">
        <v>349</v>
      </c>
      <c r="R4" s="39" t="s">
        <v>350</v>
      </c>
      <c r="S4" s="39" t="s">
        <v>351</v>
      </c>
      <c r="T4" s="39" t="s">
        <v>352</v>
      </c>
      <c r="U4" s="39" t="s">
        <v>353</v>
      </c>
      <c r="V4" s="39" t="s">
        <v>354</v>
      </c>
      <c r="W4" s="39" t="s">
        <v>355</v>
      </c>
      <c r="X4" s="39" t="s">
        <v>356</v>
      </c>
      <c r="Y4" s="39" t="s">
        <v>357</v>
      </c>
      <c r="Z4" s="39" t="s">
        <v>358</v>
      </c>
      <c r="AA4" s="39" t="s">
        <v>359</v>
      </c>
      <c r="AB4" s="39" t="s">
        <v>360</v>
      </c>
      <c r="AC4" s="39" t="s">
        <v>361</v>
      </c>
      <c r="AD4" s="39" t="s">
        <v>362</v>
      </c>
      <c r="AE4" s="39" t="s">
        <v>363</v>
      </c>
      <c r="AF4" s="39" t="s">
        <v>364</v>
      </c>
      <c r="AG4" s="39" t="s">
        <v>365</v>
      </c>
      <c r="AH4" s="39" t="s">
        <v>366</v>
      </c>
      <c r="AI4" s="39" t="s">
        <v>367</v>
      </c>
      <c r="AJ4" s="39" t="s">
        <v>368</v>
      </c>
      <c r="AK4" s="39" t="s">
        <v>369</v>
      </c>
      <c r="AL4" s="39" t="s">
        <v>370</v>
      </c>
      <c r="AM4" s="39" t="s">
        <v>371</v>
      </c>
      <c r="AN4" s="39" t="s">
        <v>372</v>
      </c>
      <c r="AO4" s="39" t="s">
        <v>373</v>
      </c>
      <c r="AP4" s="39" t="s">
        <v>374</v>
      </c>
      <c r="AQ4" s="39" t="s">
        <v>375</v>
      </c>
      <c r="AR4" s="39" t="s">
        <v>376</v>
      </c>
      <c r="AS4" s="39" t="s">
        <v>377</v>
      </c>
      <c r="AT4" s="39" t="s">
        <v>378</v>
      </c>
      <c r="AU4" s="39" t="s">
        <v>379</v>
      </c>
      <c r="AV4" s="39" t="s">
        <v>380</v>
      </c>
      <c r="AW4" s="39" t="s">
        <v>381</v>
      </c>
      <c r="AX4" s="39" t="s">
        <v>382</v>
      </c>
      <c r="AY4" s="39" t="s">
        <v>383</v>
      </c>
      <c r="AZ4" s="39" t="s">
        <v>384</v>
      </c>
    </row>
    <row r="5" customFormat="false" ht="15" hidden="false" customHeight="true" outlineLevel="0" collapsed="false">
      <c r="A5" s="11" t="s">
        <v>385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</row>
    <row r="6" customFormat="false" ht="15" hidden="false" customHeight="true" outlineLevel="0" collapsed="false">
      <c r="A6" s="13" t="s">
        <v>67</v>
      </c>
      <c r="C6" s="41" t="n">
        <f aca="false">SUM(D6:AZ6)</f>
        <v>110.2244</v>
      </c>
      <c r="D6" s="40" t="n">
        <f aca="false">'Comp - Hotel'!D6+'Comp - Centre'!D6+'Comp - Retail'!D6</f>
        <v>14.1705926640818</v>
      </c>
      <c r="E6" s="40" t="n">
        <f aca="false">'Comp - Hotel'!E6+'Comp - Centre'!E6+'Comp - Retail'!E6</f>
        <v>56.9990085714017</v>
      </c>
      <c r="F6" s="40" t="n">
        <f aca="false">'Comp - Hotel'!F6+'Comp - Centre'!F6+'Comp - Retail'!F6</f>
        <v>26.8501741506051</v>
      </c>
      <c r="G6" s="40" t="n">
        <f aca="false">'Comp - Hotel'!G6+'Comp - Centre'!G6+'Comp - Retail'!G6</f>
        <v>12.2046246139114</v>
      </c>
      <c r="H6" s="40" t="n">
        <f aca="false">'Comp - Hotel'!H6+'Comp - Centre'!H6+'Comp - Retail'!H6</f>
        <v>0</v>
      </c>
      <c r="I6" s="40" t="n">
        <f aca="false">'Comp - Hotel'!I6+'Comp - Centre'!I6+'Comp - Retail'!I6</f>
        <v>0</v>
      </c>
      <c r="J6" s="40" t="n">
        <f aca="false">'Comp - Hotel'!J6+'Comp - Centre'!J6+'Comp - Retail'!J6</f>
        <v>0</v>
      </c>
      <c r="K6" s="40" t="n">
        <f aca="false">'Comp - Hotel'!K6+'Comp - Centre'!K6+'Comp - Retail'!K6</f>
        <v>0</v>
      </c>
      <c r="L6" s="40" t="n">
        <f aca="false">'Comp - Hotel'!L6+'Comp - Centre'!L6+'Comp - Retail'!L6</f>
        <v>0</v>
      </c>
      <c r="M6" s="40" t="n">
        <f aca="false">'Comp - Hotel'!M6+'Comp - Centre'!M6+'Comp - Retail'!M6</f>
        <v>0</v>
      </c>
      <c r="N6" s="40" t="n">
        <f aca="false">'Comp - Hotel'!N6+'Comp - Centre'!N6+'Comp - Retail'!N6</f>
        <v>0</v>
      </c>
      <c r="O6" s="40" t="n">
        <f aca="false">'Comp - Hotel'!O6+'Comp - Centre'!O6+'Comp - Retail'!O6</f>
        <v>0</v>
      </c>
      <c r="P6" s="40" t="n">
        <f aca="false">'Comp - Hotel'!P6+'Comp - Centre'!P6+'Comp - Retail'!P6</f>
        <v>0</v>
      </c>
      <c r="Q6" s="40" t="n">
        <f aca="false">'Comp - Hotel'!Q6+'Comp - Centre'!Q6+'Comp - Retail'!Q6</f>
        <v>0</v>
      </c>
      <c r="R6" s="40" t="n">
        <f aca="false">'Comp - Hotel'!R6+'Comp - Centre'!R6+'Comp - Retail'!R6</f>
        <v>0</v>
      </c>
      <c r="S6" s="40" t="n">
        <f aca="false">'Comp - Hotel'!S6+'Comp - Centre'!S6+'Comp - Retail'!S6</f>
        <v>0</v>
      </c>
      <c r="T6" s="40" t="n">
        <f aca="false">'Comp - Hotel'!T6+'Comp - Centre'!T6+'Comp - Retail'!T6</f>
        <v>0</v>
      </c>
      <c r="U6" s="40" t="n">
        <f aca="false">'Comp - Hotel'!U6+'Comp - Centre'!U6+'Comp - Retail'!U6</f>
        <v>0</v>
      </c>
      <c r="V6" s="40" t="n">
        <f aca="false">'Comp - Hotel'!V6+'Comp - Centre'!V6+'Comp - Retail'!V6</f>
        <v>0</v>
      </c>
      <c r="W6" s="40" t="n">
        <f aca="false">'Comp - Hotel'!W6+'Comp - Centre'!W6+'Comp - Retail'!W6</f>
        <v>0</v>
      </c>
      <c r="X6" s="40" t="n">
        <f aca="false">'Comp - Hotel'!X6+'Comp - Centre'!X6+'Comp - Retail'!X6</f>
        <v>0</v>
      </c>
      <c r="Y6" s="40" t="n">
        <f aca="false">'Comp - Hotel'!Y6+'Comp - Centre'!Y6+'Comp - Retail'!Y6</f>
        <v>0</v>
      </c>
      <c r="Z6" s="40" t="n">
        <f aca="false">'Comp - Hotel'!Z6+'Comp - Centre'!Z6+'Comp - Retail'!Z6</f>
        <v>0</v>
      </c>
      <c r="AA6" s="40" t="n">
        <f aca="false">'Comp - Hotel'!AA6+'Comp - Centre'!AA6+'Comp - Retail'!AA6</f>
        <v>0</v>
      </c>
      <c r="AB6" s="40" t="n">
        <f aca="false">'Comp - Hotel'!AB6+'Comp - Centre'!AB6+'Comp - Retail'!AB6</f>
        <v>0</v>
      </c>
      <c r="AC6" s="40" t="n">
        <f aca="false">'Comp - Hotel'!AC6+'Comp - Centre'!AC6+'Comp - Retail'!AC6</f>
        <v>0</v>
      </c>
      <c r="AD6" s="40" t="n">
        <f aca="false">'Comp - Hotel'!AD6+'Comp - Centre'!AD6+'Comp - Retail'!AD6</f>
        <v>0</v>
      </c>
      <c r="AE6" s="40" t="n">
        <f aca="false">'Comp - Hotel'!AE6+'Comp - Centre'!AE6+'Comp - Retail'!AE6</f>
        <v>0</v>
      </c>
      <c r="AF6" s="40" t="n">
        <f aca="false">'Comp - Hotel'!AF6+'Comp - Centre'!AF6+'Comp - Retail'!AF6</f>
        <v>0</v>
      </c>
      <c r="AG6" s="40" t="n">
        <f aca="false">'Comp - Hotel'!AG6+'Comp - Centre'!AG6+'Comp - Retail'!AG6</f>
        <v>0</v>
      </c>
      <c r="AH6" s="40" t="n">
        <f aca="false">'Comp - Hotel'!AH6+'Comp - Centre'!AH6+'Comp - Retail'!AH6</f>
        <v>0</v>
      </c>
      <c r="AI6" s="40" t="n">
        <f aca="false">'Comp - Hotel'!AI6+'Comp - Centre'!AI6+'Comp - Retail'!AI6</f>
        <v>0</v>
      </c>
      <c r="AJ6" s="40" t="n">
        <f aca="false">'Comp - Hotel'!AJ6+'Comp - Centre'!AJ6+'Comp - Retail'!AJ6</f>
        <v>0</v>
      </c>
      <c r="AK6" s="40" t="n">
        <f aca="false">'Comp - Hotel'!AK6+'Comp - Centre'!AK6+'Comp - Retail'!AK6</f>
        <v>0</v>
      </c>
      <c r="AL6" s="40" t="n">
        <f aca="false">'Comp - Hotel'!AL6+'Comp - Centre'!AL6+'Comp - Retail'!AL6</f>
        <v>0</v>
      </c>
      <c r="AM6" s="40" t="n">
        <f aca="false">'Comp - Hotel'!AM6+'Comp - Centre'!AM6+'Comp - Retail'!AM6</f>
        <v>0</v>
      </c>
      <c r="AN6" s="40" t="n">
        <f aca="false">'Comp - Hotel'!AN6+'Comp - Centre'!AN6+'Comp - Retail'!AN6</f>
        <v>0</v>
      </c>
      <c r="AO6" s="40" t="n">
        <f aca="false">'Comp - Hotel'!AO6+'Comp - Centre'!AO6+'Comp - Retail'!AO6</f>
        <v>0</v>
      </c>
      <c r="AP6" s="40" t="n">
        <f aca="false">'Comp - Hotel'!AP6+'Comp - Centre'!AP6+'Comp - Retail'!AP6</f>
        <v>0</v>
      </c>
      <c r="AQ6" s="40" t="n">
        <f aca="false">'Comp - Hotel'!AQ6+'Comp - Centre'!AQ6+'Comp - Retail'!AQ6</f>
        <v>0</v>
      </c>
      <c r="AR6" s="40" t="n">
        <f aca="false">'Comp - Hotel'!AR6+'Comp - Centre'!AR6+'Comp - Retail'!AR6</f>
        <v>0</v>
      </c>
      <c r="AS6" s="40" t="n">
        <f aca="false">'Comp - Hotel'!AS6+'Comp - Centre'!AS6+'Comp - Retail'!AS6</f>
        <v>0</v>
      </c>
      <c r="AT6" s="40" t="n">
        <f aca="false">'Comp - Hotel'!AT6+'Comp - Centre'!AT6+'Comp - Retail'!AT6</f>
        <v>0</v>
      </c>
      <c r="AU6" s="40" t="n">
        <f aca="false">'Comp - Hotel'!AU6+'Comp - Centre'!AU6+'Comp - Retail'!AU6</f>
        <v>0</v>
      </c>
      <c r="AV6" s="40" t="n">
        <f aca="false">'Comp - Hotel'!AV6+'Comp - Centre'!AV6+'Comp - Retail'!AV6</f>
        <v>0</v>
      </c>
      <c r="AW6" s="40" t="n">
        <f aca="false">'Comp - Hotel'!AW6+'Comp - Centre'!AW6+'Comp - Retail'!AW6</f>
        <v>0</v>
      </c>
      <c r="AX6" s="40" t="n">
        <f aca="false">'Comp - Hotel'!AX6+'Comp - Centre'!AX6+'Comp - Retail'!AX6</f>
        <v>0</v>
      </c>
      <c r="AY6" s="40" t="n">
        <f aca="false">'Comp - Hotel'!AY6+'Comp - Centre'!AY6+'Comp - Retail'!AY6</f>
        <v>0</v>
      </c>
      <c r="AZ6" s="40" t="n">
        <f aca="false">'Comp - Hotel'!AZ6+'Comp - Centre'!AZ6+'Comp - Retail'!AZ6</f>
        <v>0</v>
      </c>
    </row>
    <row r="7" customFormat="false" ht="15" hidden="false" customHeight="true" outlineLevel="0" collapsed="false">
      <c r="A7" s="13" t="s">
        <v>68</v>
      </c>
      <c r="C7" s="41" t="n">
        <f aca="false">SUM(D7:AZ7)</f>
        <v>101.7456</v>
      </c>
      <c r="D7" s="40" t="n">
        <f aca="false">'Comp - Hotel'!D7+'Comp - Centre'!D7+'Comp - Retail'!D7</f>
        <v>0</v>
      </c>
      <c r="E7" s="40" t="n">
        <f aca="false">'Comp - Hotel'!E7+'Comp - Centre'!E7+'Comp - Retail'!E7</f>
        <v>40.2351850385948</v>
      </c>
      <c r="F7" s="40" t="n">
        <f aca="false">'Comp - Hotel'!F7+'Comp - Centre'!F7+'Comp - Retail'!F7</f>
        <v>50.244607625487</v>
      </c>
      <c r="G7" s="40" t="n">
        <f aca="false">'Comp - Hotel'!G7+'Comp - Centre'!G7+'Comp - Retail'!G7</f>
        <v>11.2658073359182</v>
      </c>
      <c r="H7" s="40" t="n">
        <f aca="false">'Comp - Hotel'!H7+'Comp - Centre'!H7+'Comp - Retail'!H7</f>
        <v>0</v>
      </c>
      <c r="I7" s="40" t="n">
        <f aca="false">'Comp - Hotel'!I7+'Comp - Centre'!I7+'Comp - Retail'!I7</f>
        <v>0</v>
      </c>
      <c r="J7" s="40" t="n">
        <f aca="false">'Comp - Hotel'!J7+'Comp - Centre'!J7+'Comp - Retail'!J7</f>
        <v>0</v>
      </c>
      <c r="K7" s="40" t="n">
        <f aca="false">'Comp - Hotel'!K7+'Comp - Centre'!K7+'Comp - Retail'!K7</f>
        <v>0</v>
      </c>
      <c r="L7" s="40" t="n">
        <f aca="false">'Comp - Hotel'!L7+'Comp - Centre'!L7+'Comp - Retail'!L7</f>
        <v>0</v>
      </c>
      <c r="M7" s="40" t="n">
        <f aca="false">'Comp - Hotel'!M7+'Comp - Centre'!M7+'Comp - Retail'!M7</f>
        <v>0</v>
      </c>
      <c r="N7" s="40" t="n">
        <f aca="false">'Comp - Hotel'!N7+'Comp - Centre'!N7+'Comp - Retail'!N7</f>
        <v>0</v>
      </c>
      <c r="O7" s="40" t="n">
        <f aca="false">'Comp - Hotel'!O7+'Comp - Centre'!O7+'Comp - Retail'!O7</f>
        <v>0</v>
      </c>
      <c r="P7" s="40" t="n">
        <f aca="false">'Comp - Hotel'!P7+'Comp - Centre'!P7+'Comp - Retail'!P7</f>
        <v>0</v>
      </c>
      <c r="Q7" s="40" t="n">
        <f aca="false">'Comp - Hotel'!Q7+'Comp - Centre'!Q7+'Comp - Retail'!Q7</f>
        <v>0</v>
      </c>
      <c r="R7" s="40" t="n">
        <f aca="false">'Comp - Hotel'!R7+'Comp - Centre'!R7+'Comp - Retail'!R7</f>
        <v>0</v>
      </c>
      <c r="S7" s="40" t="n">
        <f aca="false">'Comp - Hotel'!S7+'Comp - Centre'!S7+'Comp - Retail'!S7</f>
        <v>0</v>
      </c>
      <c r="T7" s="40" t="n">
        <f aca="false">'Comp - Hotel'!T7+'Comp - Centre'!T7+'Comp - Retail'!T7</f>
        <v>0</v>
      </c>
      <c r="U7" s="40" t="n">
        <f aca="false">'Comp - Hotel'!U7+'Comp - Centre'!U7+'Comp - Retail'!U7</f>
        <v>0</v>
      </c>
      <c r="V7" s="40" t="n">
        <f aca="false">'Comp - Hotel'!V7+'Comp - Centre'!V7+'Comp - Retail'!V7</f>
        <v>0</v>
      </c>
      <c r="W7" s="40" t="n">
        <f aca="false">'Comp - Hotel'!W7+'Comp - Centre'!W7+'Comp - Retail'!W7</f>
        <v>0</v>
      </c>
      <c r="X7" s="40" t="n">
        <f aca="false">'Comp - Hotel'!X7+'Comp - Centre'!X7+'Comp - Retail'!X7</f>
        <v>0</v>
      </c>
      <c r="Y7" s="40" t="n">
        <f aca="false">'Comp - Hotel'!Y7+'Comp - Centre'!Y7+'Comp - Retail'!Y7</f>
        <v>0</v>
      </c>
      <c r="Z7" s="40" t="n">
        <f aca="false">'Comp - Hotel'!Z7+'Comp - Centre'!Z7+'Comp - Retail'!Z7</f>
        <v>0</v>
      </c>
      <c r="AA7" s="40" t="n">
        <f aca="false">'Comp - Hotel'!AA7+'Comp - Centre'!AA7+'Comp - Retail'!AA7</f>
        <v>0</v>
      </c>
      <c r="AB7" s="40" t="n">
        <f aca="false">'Comp - Hotel'!AB7+'Comp - Centre'!AB7+'Comp - Retail'!AB7</f>
        <v>0</v>
      </c>
      <c r="AC7" s="40" t="n">
        <f aca="false">'Comp - Hotel'!AC7+'Comp - Centre'!AC7+'Comp - Retail'!AC7</f>
        <v>0</v>
      </c>
      <c r="AD7" s="40" t="n">
        <f aca="false">'Comp - Hotel'!AD7+'Comp - Centre'!AD7+'Comp - Retail'!AD7</f>
        <v>0</v>
      </c>
      <c r="AE7" s="40" t="n">
        <f aca="false">'Comp - Hotel'!AE7+'Comp - Centre'!AE7+'Comp - Retail'!AE7</f>
        <v>0</v>
      </c>
      <c r="AF7" s="40" t="n">
        <f aca="false">'Comp - Hotel'!AF7+'Comp - Centre'!AF7+'Comp - Retail'!AF7</f>
        <v>0</v>
      </c>
      <c r="AG7" s="40" t="n">
        <f aca="false">'Comp - Hotel'!AG7+'Comp - Centre'!AG7+'Comp - Retail'!AG7</f>
        <v>0</v>
      </c>
      <c r="AH7" s="40" t="n">
        <f aca="false">'Comp - Hotel'!AH7+'Comp - Centre'!AH7+'Comp - Retail'!AH7</f>
        <v>0</v>
      </c>
      <c r="AI7" s="40" t="n">
        <f aca="false">'Comp - Hotel'!AI7+'Comp - Centre'!AI7+'Comp - Retail'!AI7</f>
        <v>0</v>
      </c>
      <c r="AJ7" s="40" t="n">
        <f aca="false">'Comp - Hotel'!AJ7+'Comp - Centre'!AJ7+'Comp - Retail'!AJ7</f>
        <v>0</v>
      </c>
      <c r="AK7" s="40" t="n">
        <f aca="false">'Comp - Hotel'!AK7+'Comp - Centre'!AK7+'Comp - Retail'!AK7</f>
        <v>0</v>
      </c>
      <c r="AL7" s="40" t="n">
        <f aca="false">'Comp - Hotel'!AL7+'Comp - Centre'!AL7+'Comp - Retail'!AL7</f>
        <v>0</v>
      </c>
      <c r="AM7" s="40" t="n">
        <f aca="false">'Comp - Hotel'!AM7+'Comp - Centre'!AM7+'Comp - Retail'!AM7</f>
        <v>0</v>
      </c>
      <c r="AN7" s="40" t="n">
        <f aca="false">'Comp - Hotel'!AN7+'Comp - Centre'!AN7+'Comp - Retail'!AN7</f>
        <v>0</v>
      </c>
      <c r="AO7" s="40" t="n">
        <f aca="false">'Comp - Hotel'!AO7+'Comp - Centre'!AO7+'Comp - Retail'!AO7</f>
        <v>0</v>
      </c>
      <c r="AP7" s="40" t="n">
        <f aca="false">'Comp - Hotel'!AP7+'Comp - Centre'!AP7+'Comp - Retail'!AP7</f>
        <v>0</v>
      </c>
      <c r="AQ7" s="40" t="n">
        <f aca="false">'Comp - Hotel'!AQ7+'Comp - Centre'!AQ7+'Comp - Retail'!AQ7</f>
        <v>0</v>
      </c>
      <c r="AR7" s="40" t="n">
        <f aca="false">'Comp - Hotel'!AR7+'Comp - Centre'!AR7+'Comp - Retail'!AR7</f>
        <v>0</v>
      </c>
      <c r="AS7" s="40" t="n">
        <f aca="false">'Comp - Hotel'!AS7+'Comp - Centre'!AS7+'Comp - Retail'!AS7</f>
        <v>0</v>
      </c>
      <c r="AT7" s="40" t="n">
        <f aca="false">'Comp - Hotel'!AT7+'Comp - Centre'!AT7+'Comp - Retail'!AT7</f>
        <v>0</v>
      </c>
      <c r="AU7" s="40" t="n">
        <f aca="false">'Comp - Hotel'!AU7+'Comp - Centre'!AU7+'Comp - Retail'!AU7</f>
        <v>0</v>
      </c>
      <c r="AV7" s="40" t="n">
        <f aca="false">'Comp - Hotel'!AV7+'Comp - Centre'!AV7+'Comp - Retail'!AV7</f>
        <v>0</v>
      </c>
      <c r="AW7" s="40" t="n">
        <f aca="false">'Comp - Hotel'!AW7+'Comp - Centre'!AW7+'Comp - Retail'!AW7</f>
        <v>0</v>
      </c>
      <c r="AX7" s="40" t="n">
        <f aca="false">'Comp - Hotel'!AX7+'Comp - Centre'!AX7+'Comp - Retail'!AX7</f>
        <v>0</v>
      </c>
      <c r="AY7" s="40" t="n">
        <f aca="false">'Comp - Hotel'!AY7+'Comp - Centre'!AY7+'Comp - Retail'!AY7</f>
        <v>0</v>
      </c>
      <c r="AZ7" s="40" t="n">
        <f aca="false">'Comp - Hotel'!AZ7+'Comp - Centre'!AZ7+'Comp - Retail'!AZ7</f>
        <v>0</v>
      </c>
    </row>
    <row r="8" customFormat="false" ht="15" hidden="false" customHeight="true" outlineLevel="0" collapsed="false">
      <c r="A8" s="13" t="s">
        <v>69</v>
      </c>
      <c r="C8" s="41" t="n">
        <f aca="false">SUM(D8:AZ8)</f>
        <v>70</v>
      </c>
      <c r="D8" s="40" t="n">
        <f aca="false">'Comp - Hotel'!D8+'Comp - Centre'!D8+'Comp - Retail'!D8</f>
        <v>0</v>
      </c>
      <c r="E8" s="40" t="n">
        <f aca="false">'Comp - Hotel'!E8+'Comp - Centre'!E8+'Comp - Retail'!E8</f>
        <v>32.8590872818423</v>
      </c>
      <c r="F8" s="40" t="n">
        <f aca="false">'Comp - Hotel'!F8+'Comp - Centre'!F8+'Comp - Retail'!F8</f>
        <v>30.5691917722054</v>
      </c>
      <c r="G8" s="40" t="n">
        <f aca="false">'Comp - Hotel'!G8+'Comp - Centre'!G8+'Comp - Retail'!G8</f>
        <v>6.57172094595229</v>
      </c>
      <c r="H8" s="40" t="n">
        <f aca="false">'Comp - Hotel'!H8+'Comp - Centre'!H8+'Comp - Retail'!H8</f>
        <v>0</v>
      </c>
      <c r="I8" s="40" t="n">
        <f aca="false">'Comp - Hotel'!I8+'Comp - Centre'!I8+'Comp - Retail'!I8</f>
        <v>0</v>
      </c>
      <c r="J8" s="40" t="n">
        <f aca="false">'Comp - Hotel'!J8+'Comp - Centre'!J8+'Comp - Retail'!J8</f>
        <v>0</v>
      </c>
      <c r="K8" s="40" t="n">
        <f aca="false">'Comp - Hotel'!K8+'Comp - Centre'!K8+'Comp - Retail'!K8</f>
        <v>0</v>
      </c>
      <c r="L8" s="40" t="n">
        <f aca="false">'Comp - Hotel'!L8+'Comp - Centre'!L8+'Comp - Retail'!L8</f>
        <v>0</v>
      </c>
      <c r="M8" s="40" t="n">
        <f aca="false">'Comp - Hotel'!M8+'Comp - Centre'!M8+'Comp - Retail'!M8</f>
        <v>0</v>
      </c>
      <c r="N8" s="40" t="n">
        <f aca="false">'Comp - Hotel'!N8+'Comp - Centre'!N8+'Comp - Retail'!N8</f>
        <v>0</v>
      </c>
      <c r="O8" s="40" t="n">
        <f aca="false">'Comp - Hotel'!O8+'Comp - Centre'!O8+'Comp - Retail'!O8</f>
        <v>0</v>
      </c>
      <c r="P8" s="40" t="n">
        <f aca="false">'Comp - Hotel'!P8+'Comp - Centre'!P8+'Comp - Retail'!P8</f>
        <v>0</v>
      </c>
      <c r="Q8" s="40" t="n">
        <f aca="false">'Comp - Hotel'!Q8+'Comp - Centre'!Q8+'Comp - Retail'!Q8</f>
        <v>0</v>
      </c>
      <c r="R8" s="40" t="n">
        <f aca="false">'Comp - Hotel'!R8+'Comp - Centre'!R8+'Comp - Retail'!R8</f>
        <v>0</v>
      </c>
      <c r="S8" s="40" t="n">
        <f aca="false">'Comp - Hotel'!S8+'Comp - Centre'!S8+'Comp - Retail'!S8</f>
        <v>0</v>
      </c>
      <c r="T8" s="40" t="n">
        <f aca="false">'Comp - Hotel'!T8+'Comp - Centre'!T8+'Comp - Retail'!T8</f>
        <v>0</v>
      </c>
      <c r="U8" s="40" t="n">
        <f aca="false">'Comp - Hotel'!U8+'Comp - Centre'!U8+'Comp - Retail'!U8</f>
        <v>0</v>
      </c>
      <c r="V8" s="40" t="n">
        <f aca="false">'Comp - Hotel'!V8+'Comp - Centre'!V8+'Comp - Retail'!V8</f>
        <v>0</v>
      </c>
      <c r="W8" s="40" t="n">
        <f aca="false">'Comp - Hotel'!W8+'Comp - Centre'!W8+'Comp - Retail'!W8</f>
        <v>0</v>
      </c>
      <c r="X8" s="40" t="n">
        <f aca="false">'Comp - Hotel'!X8+'Comp - Centre'!X8+'Comp - Retail'!X8</f>
        <v>0</v>
      </c>
      <c r="Y8" s="40" t="n">
        <f aca="false">'Comp - Hotel'!Y8+'Comp - Centre'!Y8+'Comp - Retail'!Y8</f>
        <v>0</v>
      </c>
      <c r="Z8" s="40" t="n">
        <f aca="false">'Comp - Hotel'!Z8+'Comp - Centre'!Z8+'Comp - Retail'!Z8</f>
        <v>0</v>
      </c>
      <c r="AA8" s="40" t="n">
        <f aca="false">'Comp - Hotel'!AA8+'Comp - Centre'!AA8+'Comp - Retail'!AA8</f>
        <v>0</v>
      </c>
      <c r="AB8" s="40" t="n">
        <f aca="false">'Comp - Hotel'!AB8+'Comp - Centre'!AB8+'Comp - Retail'!AB8</f>
        <v>0</v>
      </c>
      <c r="AC8" s="40" t="n">
        <f aca="false">'Comp - Hotel'!AC8+'Comp - Centre'!AC8+'Comp - Retail'!AC8</f>
        <v>0</v>
      </c>
      <c r="AD8" s="40" t="n">
        <f aca="false">'Comp - Hotel'!AD8+'Comp - Centre'!AD8+'Comp - Retail'!AD8</f>
        <v>0</v>
      </c>
      <c r="AE8" s="40" t="n">
        <f aca="false">'Comp - Hotel'!AE8+'Comp - Centre'!AE8+'Comp - Retail'!AE8</f>
        <v>0</v>
      </c>
      <c r="AF8" s="40" t="n">
        <f aca="false">'Comp - Hotel'!AF8+'Comp - Centre'!AF8+'Comp - Retail'!AF8</f>
        <v>0</v>
      </c>
      <c r="AG8" s="40" t="n">
        <f aca="false">'Comp - Hotel'!AG8+'Comp - Centre'!AG8+'Comp - Retail'!AG8</f>
        <v>0</v>
      </c>
      <c r="AH8" s="40" t="n">
        <f aca="false">'Comp - Hotel'!AH8+'Comp - Centre'!AH8+'Comp - Retail'!AH8</f>
        <v>0</v>
      </c>
      <c r="AI8" s="40" t="n">
        <f aca="false">'Comp - Hotel'!AI8+'Comp - Centre'!AI8+'Comp - Retail'!AI8</f>
        <v>0</v>
      </c>
      <c r="AJ8" s="40" t="n">
        <f aca="false">'Comp - Hotel'!AJ8+'Comp - Centre'!AJ8+'Comp - Retail'!AJ8</f>
        <v>0</v>
      </c>
      <c r="AK8" s="40" t="n">
        <f aca="false">'Comp - Hotel'!AK8+'Comp - Centre'!AK8+'Comp - Retail'!AK8</f>
        <v>0</v>
      </c>
      <c r="AL8" s="40" t="n">
        <f aca="false">'Comp - Hotel'!AL8+'Comp - Centre'!AL8+'Comp - Retail'!AL8</f>
        <v>0</v>
      </c>
      <c r="AM8" s="40" t="n">
        <f aca="false">'Comp - Hotel'!AM8+'Comp - Centre'!AM8+'Comp - Retail'!AM8</f>
        <v>0</v>
      </c>
      <c r="AN8" s="40" t="n">
        <f aca="false">'Comp - Hotel'!AN8+'Comp - Centre'!AN8+'Comp - Retail'!AN8</f>
        <v>0</v>
      </c>
      <c r="AO8" s="40" t="n">
        <f aca="false">'Comp - Hotel'!AO8+'Comp - Centre'!AO8+'Comp - Retail'!AO8</f>
        <v>0</v>
      </c>
      <c r="AP8" s="40" t="n">
        <f aca="false">'Comp - Hotel'!AP8+'Comp - Centre'!AP8+'Comp - Retail'!AP8</f>
        <v>0</v>
      </c>
      <c r="AQ8" s="40" t="n">
        <f aca="false">'Comp - Hotel'!AQ8+'Comp - Centre'!AQ8+'Comp - Retail'!AQ8</f>
        <v>0</v>
      </c>
      <c r="AR8" s="40" t="n">
        <f aca="false">'Comp - Hotel'!AR8+'Comp - Centre'!AR8+'Comp - Retail'!AR8</f>
        <v>0</v>
      </c>
      <c r="AS8" s="40" t="n">
        <f aca="false">'Comp - Hotel'!AS8+'Comp - Centre'!AS8+'Comp - Retail'!AS8</f>
        <v>0</v>
      </c>
      <c r="AT8" s="40" t="n">
        <f aca="false">'Comp - Hotel'!AT8+'Comp - Centre'!AT8+'Comp - Retail'!AT8</f>
        <v>0</v>
      </c>
      <c r="AU8" s="40" t="n">
        <f aca="false">'Comp - Hotel'!AU8+'Comp - Centre'!AU8+'Comp - Retail'!AU8</f>
        <v>0</v>
      </c>
      <c r="AV8" s="40" t="n">
        <f aca="false">'Comp - Hotel'!AV8+'Comp - Centre'!AV8+'Comp - Retail'!AV8</f>
        <v>0</v>
      </c>
      <c r="AW8" s="40" t="n">
        <f aca="false">'Comp - Hotel'!AW8+'Comp - Centre'!AW8+'Comp - Retail'!AW8</f>
        <v>0</v>
      </c>
      <c r="AX8" s="40" t="n">
        <f aca="false">'Comp - Hotel'!AX8+'Comp - Centre'!AX8+'Comp - Retail'!AX8</f>
        <v>0</v>
      </c>
      <c r="AY8" s="40" t="n">
        <f aca="false">'Comp - Hotel'!AY8+'Comp - Centre'!AY8+'Comp - Retail'!AY8</f>
        <v>0</v>
      </c>
      <c r="AZ8" s="40" t="n">
        <f aca="false">'Comp - Hotel'!AZ8+'Comp - Centre'!AZ8+'Comp - Retail'!AZ8</f>
        <v>0</v>
      </c>
    </row>
    <row r="9" customFormat="false" ht="15" hidden="false" customHeight="true" outlineLevel="0" collapsed="false">
      <c r="A9" s="13" t="s">
        <v>70</v>
      </c>
      <c r="C9" s="41" t="n">
        <f aca="false">SUM(D9:AZ9)</f>
        <v>65.1</v>
      </c>
      <c r="D9" s="40" t="n">
        <f aca="false">'Comp - Hotel'!D9+'Comp - Centre'!D9+'Comp - Retail'!D9</f>
        <v>1.68607733976736</v>
      </c>
      <c r="E9" s="40" t="n">
        <f aca="false">'Comp - Hotel'!E9+'Comp - Centre'!E9+'Comp - Retail'!E9</f>
        <v>24.6227099899547</v>
      </c>
      <c r="F9" s="40" t="n">
        <f aca="false">'Comp - Hotel'!F9+'Comp - Centre'!F9+'Comp - Retail'!F9</f>
        <v>32.6795121905424</v>
      </c>
      <c r="G9" s="40" t="n">
        <f aca="false">'Comp - Hotel'!G9+'Comp - Centre'!G9+'Comp - Retail'!G9</f>
        <v>6.11170047973563</v>
      </c>
      <c r="H9" s="40" t="n">
        <f aca="false">'Comp - Hotel'!H9+'Comp - Centre'!H9+'Comp - Retail'!H9</f>
        <v>0</v>
      </c>
      <c r="I9" s="40" t="n">
        <f aca="false">'Comp - Hotel'!I9+'Comp - Centre'!I9+'Comp - Retail'!I9</f>
        <v>0</v>
      </c>
      <c r="J9" s="40" t="n">
        <f aca="false">'Comp - Hotel'!J9+'Comp - Centre'!J9+'Comp - Retail'!J9</f>
        <v>0</v>
      </c>
      <c r="K9" s="40" t="n">
        <f aca="false">'Comp - Hotel'!K9+'Comp - Centre'!K9+'Comp - Retail'!K9</f>
        <v>0</v>
      </c>
      <c r="L9" s="40" t="n">
        <f aca="false">'Comp - Hotel'!L9+'Comp - Centre'!L9+'Comp - Retail'!L9</f>
        <v>0</v>
      </c>
      <c r="M9" s="40" t="n">
        <f aca="false">'Comp - Hotel'!M9+'Comp - Centre'!M9+'Comp - Retail'!M9</f>
        <v>0</v>
      </c>
      <c r="N9" s="40" t="n">
        <f aca="false">'Comp - Hotel'!N9+'Comp - Centre'!N9+'Comp - Retail'!N9</f>
        <v>0</v>
      </c>
      <c r="O9" s="40" t="n">
        <f aca="false">'Comp - Hotel'!O9+'Comp - Centre'!O9+'Comp - Retail'!O9</f>
        <v>0</v>
      </c>
      <c r="P9" s="40" t="n">
        <f aca="false">'Comp - Hotel'!P9+'Comp - Centre'!P9+'Comp - Retail'!P9</f>
        <v>0</v>
      </c>
      <c r="Q9" s="40" t="n">
        <f aca="false">'Comp - Hotel'!Q9+'Comp - Centre'!Q9+'Comp - Retail'!Q9</f>
        <v>0</v>
      </c>
      <c r="R9" s="40" t="n">
        <f aca="false">'Comp - Hotel'!R9+'Comp - Centre'!R9+'Comp - Retail'!R9</f>
        <v>0</v>
      </c>
      <c r="S9" s="40" t="n">
        <f aca="false">'Comp - Hotel'!S9+'Comp - Centre'!S9+'Comp - Retail'!S9</f>
        <v>0</v>
      </c>
      <c r="T9" s="40" t="n">
        <f aca="false">'Comp - Hotel'!T9+'Comp - Centre'!T9+'Comp - Retail'!T9</f>
        <v>0</v>
      </c>
      <c r="U9" s="40" t="n">
        <f aca="false">'Comp - Hotel'!U9+'Comp - Centre'!U9+'Comp - Retail'!U9</f>
        <v>0</v>
      </c>
      <c r="V9" s="40" t="n">
        <f aca="false">'Comp - Hotel'!V9+'Comp - Centre'!V9+'Comp - Retail'!V9</f>
        <v>0</v>
      </c>
      <c r="W9" s="40" t="n">
        <f aca="false">'Comp - Hotel'!W9+'Comp - Centre'!W9+'Comp - Retail'!W9</f>
        <v>0</v>
      </c>
      <c r="X9" s="40" t="n">
        <f aca="false">'Comp - Hotel'!X9+'Comp - Centre'!X9+'Comp - Retail'!X9</f>
        <v>0</v>
      </c>
      <c r="Y9" s="40" t="n">
        <f aca="false">'Comp - Hotel'!Y9+'Comp - Centre'!Y9+'Comp - Retail'!Y9</f>
        <v>0</v>
      </c>
      <c r="Z9" s="40" t="n">
        <f aca="false">'Comp - Hotel'!Z9+'Comp - Centre'!Z9+'Comp - Retail'!Z9</f>
        <v>0</v>
      </c>
      <c r="AA9" s="40" t="n">
        <f aca="false">'Comp - Hotel'!AA9+'Comp - Centre'!AA9+'Comp - Retail'!AA9</f>
        <v>0</v>
      </c>
      <c r="AB9" s="40" t="n">
        <f aca="false">'Comp - Hotel'!AB9+'Comp - Centre'!AB9+'Comp - Retail'!AB9</f>
        <v>0</v>
      </c>
      <c r="AC9" s="40" t="n">
        <f aca="false">'Comp - Hotel'!AC9+'Comp - Centre'!AC9+'Comp - Retail'!AC9</f>
        <v>0</v>
      </c>
      <c r="AD9" s="40" t="n">
        <f aca="false">'Comp - Hotel'!AD9+'Comp - Centre'!AD9+'Comp - Retail'!AD9</f>
        <v>0</v>
      </c>
      <c r="AE9" s="40" t="n">
        <f aca="false">'Comp - Hotel'!AE9+'Comp - Centre'!AE9+'Comp - Retail'!AE9</f>
        <v>0</v>
      </c>
      <c r="AF9" s="40" t="n">
        <f aca="false">'Comp - Hotel'!AF9+'Comp - Centre'!AF9+'Comp - Retail'!AF9</f>
        <v>0</v>
      </c>
      <c r="AG9" s="40" t="n">
        <f aca="false">'Comp - Hotel'!AG9+'Comp - Centre'!AG9+'Comp - Retail'!AG9</f>
        <v>0</v>
      </c>
      <c r="AH9" s="40" t="n">
        <f aca="false">'Comp - Hotel'!AH9+'Comp - Centre'!AH9+'Comp - Retail'!AH9</f>
        <v>0</v>
      </c>
      <c r="AI9" s="40" t="n">
        <f aca="false">'Comp - Hotel'!AI9+'Comp - Centre'!AI9+'Comp - Retail'!AI9</f>
        <v>0</v>
      </c>
      <c r="AJ9" s="40" t="n">
        <f aca="false">'Comp - Hotel'!AJ9+'Comp - Centre'!AJ9+'Comp - Retail'!AJ9</f>
        <v>0</v>
      </c>
      <c r="AK9" s="40" t="n">
        <f aca="false">'Comp - Hotel'!AK9+'Comp - Centre'!AK9+'Comp - Retail'!AK9</f>
        <v>0</v>
      </c>
      <c r="AL9" s="40" t="n">
        <f aca="false">'Comp - Hotel'!AL9+'Comp - Centre'!AL9+'Comp - Retail'!AL9</f>
        <v>0</v>
      </c>
      <c r="AM9" s="40" t="n">
        <f aca="false">'Comp - Hotel'!AM9+'Comp - Centre'!AM9+'Comp - Retail'!AM9</f>
        <v>0</v>
      </c>
      <c r="AN9" s="40" t="n">
        <f aca="false">'Comp - Hotel'!AN9+'Comp - Centre'!AN9+'Comp - Retail'!AN9</f>
        <v>0</v>
      </c>
      <c r="AO9" s="40" t="n">
        <f aca="false">'Comp - Hotel'!AO9+'Comp - Centre'!AO9+'Comp - Retail'!AO9</f>
        <v>0</v>
      </c>
      <c r="AP9" s="40" t="n">
        <f aca="false">'Comp - Hotel'!AP9+'Comp - Centre'!AP9+'Comp - Retail'!AP9</f>
        <v>0</v>
      </c>
      <c r="AQ9" s="40" t="n">
        <f aca="false">'Comp - Hotel'!AQ9+'Comp - Centre'!AQ9+'Comp - Retail'!AQ9</f>
        <v>0</v>
      </c>
      <c r="AR9" s="40" t="n">
        <f aca="false">'Comp - Hotel'!AR9+'Comp - Centre'!AR9+'Comp - Retail'!AR9</f>
        <v>0</v>
      </c>
      <c r="AS9" s="40" t="n">
        <f aca="false">'Comp - Hotel'!AS9+'Comp - Centre'!AS9+'Comp - Retail'!AS9</f>
        <v>0</v>
      </c>
      <c r="AT9" s="40" t="n">
        <f aca="false">'Comp - Hotel'!AT9+'Comp - Centre'!AT9+'Comp - Retail'!AT9</f>
        <v>0</v>
      </c>
      <c r="AU9" s="40" t="n">
        <f aca="false">'Comp - Hotel'!AU9+'Comp - Centre'!AU9+'Comp - Retail'!AU9</f>
        <v>0</v>
      </c>
      <c r="AV9" s="40" t="n">
        <f aca="false">'Comp - Hotel'!AV9+'Comp - Centre'!AV9+'Comp - Retail'!AV9</f>
        <v>0</v>
      </c>
      <c r="AW9" s="40" t="n">
        <f aca="false">'Comp - Hotel'!AW9+'Comp - Centre'!AW9+'Comp - Retail'!AW9</f>
        <v>0</v>
      </c>
      <c r="AX9" s="40" t="n">
        <f aca="false">'Comp - Hotel'!AX9+'Comp - Centre'!AX9+'Comp - Retail'!AX9</f>
        <v>0</v>
      </c>
      <c r="AY9" s="40" t="n">
        <f aca="false">'Comp - Hotel'!AY9+'Comp - Centre'!AY9+'Comp - Retail'!AY9</f>
        <v>0</v>
      </c>
      <c r="AZ9" s="40" t="n">
        <f aca="false">'Comp - Hotel'!AZ9+'Comp - Centre'!AZ9+'Comp - Retail'!AZ9</f>
        <v>0</v>
      </c>
    </row>
    <row r="10" customFormat="false" ht="15" hidden="false" customHeight="true" outlineLevel="0" collapsed="false">
      <c r="A10" s="13" t="s">
        <v>328</v>
      </c>
      <c r="C10" s="41" t="n">
        <f aca="false">SUM(D10:AZ10)</f>
        <v>35</v>
      </c>
      <c r="D10" s="40" t="n">
        <f aca="false">'Comp - Hotel'!D10+'Comp - Centre'!D10+'Comp - Retail'!D10</f>
        <v>0</v>
      </c>
      <c r="E10" s="40" t="n">
        <f aca="false">'Comp - Hotel'!E10+'Comp - Centre'!E10+'Comp - Retail'!E10</f>
        <v>7</v>
      </c>
      <c r="F10" s="40" t="n">
        <f aca="false">'Comp - Hotel'!F10+'Comp - Centre'!F10+'Comp - Retail'!F10</f>
        <v>19.25</v>
      </c>
      <c r="G10" s="40" t="n">
        <f aca="false">'Comp - Hotel'!G10+'Comp - Centre'!G10+'Comp - Retail'!G10</f>
        <v>8.75</v>
      </c>
      <c r="H10" s="40" t="n">
        <f aca="false">'Comp - Hotel'!H10+'Comp - Centre'!H10+'Comp - Retail'!H10</f>
        <v>0</v>
      </c>
      <c r="I10" s="40" t="n">
        <f aca="false">'Comp - Hotel'!I10+'Comp - Centre'!I10+'Comp - Retail'!I10</f>
        <v>0</v>
      </c>
      <c r="J10" s="40" t="n">
        <f aca="false">'Comp - Hotel'!J10+'Comp - Centre'!J10+'Comp - Retail'!J10</f>
        <v>0</v>
      </c>
      <c r="K10" s="40" t="n">
        <f aca="false">'Comp - Hotel'!K10+'Comp - Centre'!K10+'Comp - Retail'!K10</f>
        <v>0</v>
      </c>
      <c r="L10" s="40" t="n">
        <f aca="false">'Comp - Hotel'!L10+'Comp - Centre'!L10+'Comp - Retail'!L10</f>
        <v>0</v>
      </c>
      <c r="M10" s="40" t="n">
        <f aca="false">'Comp - Hotel'!M10+'Comp - Centre'!M10+'Comp - Retail'!M10</f>
        <v>0</v>
      </c>
      <c r="N10" s="40" t="n">
        <f aca="false">'Comp - Hotel'!N10+'Comp - Centre'!N10+'Comp - Retail'!N10</f>
        <v>0</v>
      </c>
      <c r="O10" s="40" t="n">
        <f aca="false">'Comp - Hotel'!O10+'Comp - Centre'!O10+'Comp - Retail'!O10</f>
        <v>0</v>
      </c>
      <c r="P10" s="40" t="n">
        <f aca="false">'Comp - Hotel'!P10+'Comp - Centre'!P10+'Comp - Retail'!P10</f>
        <v>0</v>
      </c>
      <c r="Q10" s="40" t="n">
        <f aca="false">'Comp - Hotel'!Q10+'Comp - Centre'!Q10+'Comp - Retail'!Q10</f>
        <v>0</v>
      </c>
      <c r="R10" s="40" t="n">
        <f aca="false">'Comp - Hotel'!R10+'Comp - Centre'!R10+'Comp - Retail'!R10</f>
        <v>0</v>
      </c>
      <c r="S10" s="40" t="n">
        <f aca="false">'Comp - Hotel'!S10+'Comp - Centre'!S10+'Comp - Retail'!S10</f>
        <v>0</v>
      </c>
      <c r="T10" s="40" t="n">
        <f aca="false">'Comp - Hotel'!T10+'Comp - Centre'!T10+'Comp - Retail'!T10</f>
        <v>0</v>
      </c>
      <c r="U10" s="40" t="n">
        <f aca="false">'Comp - Hotel'!U10+'Comp - Centre'!U10+'Comp - Retail'!U10</f>
        <v>0</v>
      </c>
      <c r="V10" s="40" t="n">
        <f aca="false">'Comp - Hotel'!V10+'Comp - Centre'!V10+'Comp - Retail'!V10</f>
        <v>0</v>
      </c>
      <c r="W10" s="40" t="n">
        <f aca="false">'Comp - Hotel'!W10+'Comp - Centre'!W10+'Comp - Retail'!W10</f>
        <v>0</v>
      </c>
      <c r="X10" s="40" t="n">
        <f aca="false">'Comp - Hotel'!X10+'Comp - Centre'!X10+'Comp - Retail'!X10</f>
        <v>0</v>
      </c>
      <c r="Y10" s="40" t="n">
        <f aca="false">'Comp - Hotel'!Y10+'Comp - Centre'!Y10+'Comp - Retail'!Y10</f>
        <v>0</v>
      </c>
      <c r="Z10" s="40" t="n">
        <f aca="false">'Comp - Hotel'!Z10+'Comp - Centre'!Z10+'Comp - Retail'!Z10</f>
        <v>0</v>
      </c>
      <c r="AA10" s="40" t="n">
        <f aca="false">'Comp - Hotel'!AA10+'Comp - Centre'!AA10+'Comp - Retail'!AA10</f>
        <v>0</v>
      </c>
      <c r="AB10" s="40" t="n">
        <f aca="false">'Comp - Hotel'!AB10+'Comp - Centre'!AB10+'Comp - Retail'!AB10</f>
        <v>0</v>
      </c>
      <c r="AC10" s="40" t="n">
        <f aca="false">'Comp - Hotel'!AC10+'Comp - Centre'!AC10+'Comp - Retail'!AC10</f>
        <v>0</v>
      </c>
      <c r="AD10" s="40" t="n">
        <f aca="false">'Comp - Hotel'!AD10+'Comp - Centre'!AD10+'Comp - Retail'!AD10</f>
        <v>0</v>
      </c>
      <c r="AE10" s="40" t="n">
        <f aca="false">'Comp - Hotel'!AE10+'Comp - Centre'!AE10+'Comp - Retail'!AE10</f>
        <v>0</v>
      </c>
      <c r="AF10" s="40" t="n">
        <f aca="false">'Comp - Hotel'!AF10+'Comp - Centre'!AF10+'Comp - Retail'!AF10</f>
        <v>0</v>
      </c>
      <c r="AG10" s="40" t="n">
        <f aca="false">'Comp - Hotel'!AG10+'Comp - Centre'!AG10+'Comp - Retail'!AG10</f>
        <v>0</v>
      </c>
      <c r="AH10" s="40" t="n">
        <f aca="false">'Comp - Hotel'!AH10+'Comp - Centre'!AH10+'Comp - Retail'!AH10</f>
        <v>0</v>
      </c>
      <c r="AI10" s="40" t="n">
        <f aca="false">'Comp - Hotel'!AI10+'Comp - Centre'!AI10+'Comp - Retail'!AI10</f>
        <v>0</v>
      </c>
      <c r="AJ10" s="40" t="n">
        <f aca="false">'Comp - Hotel'!AJ10+'Comp - Centre'!AJ10+'Comp - Retail'!AJ10</f>
        <v>0</v>
      </c>
      <c r="AK10" s="40" t="n">
        <f aca="false">'Comp - Hotel'!AK10+'Comp - Centre'!AK10+'Comp - Retail'!AK10</f>
        <v>0</v>
      </c>
      <c r="AL10" s="40" t="n">
        <f aca="false">'Comp - Hotel'!AL10+'Comp - Centre'!AL10+'Comp - Retail'!AL10</f>
        <v>0</v>
      </c>
      <c r="AM10" s="40" t="n">
        <f aca="false">'Comp - Hotel'!AM10+'Comp - Centre'!AM10+'Comp - Retail'!AM10</f>
        <v>0</v>
      </c>
      <c r="AN10" s="40" t="n">
        <f aca="false">'Comp - Hotel'!AN10+'Comp - Centre'!AN10+'Comp - Retail'!AN10</f>
        <v>0</v>
      </c>
      <c r="AO10" s="40" t="n">
        <f aca="false">'Comp - Hotel'!AO10+'Comp - Centre'!AO10+'Comp - Retail'!AO10</f>
        <v>0</v>
      </c>
      <c r="AP10" s="40" t="n">
        <f aca="false">'Comp - Hotel'!AP10+'Comp - Centre'!AP10+'Comp - Retail'!AP10</f>
        <v>0</v>
      </c>
      <c r="AQ10" s="40" t="n">
        <f aca="false">'Comp - Hotel'!AQ10+'Comp - Centre'!AQ10+'Comp - Retail'!AQ10</f>
        <v>0</v>
      </c>
      <c r="AR10" s="40" t="n">
        <f aca="false">'Comp - Hotel'!AR10+'Comp - Centre'!AR10+'Comp - Retail'!AR10</f>
        <v>0</v>
      </c>
      <c r="AS10" s="40" t="n">
        <f aca="false">'Comp - Hotel'!AS10+'Comp - Centre'!AS10+'Comp - Retail'!AS10</f>
        <v>0</v>
      </c>
      <c r="AT10" s="40" t="n">
        <f aca="false">'Comp - Hotel'!AT10+'Comp - Centre'!AT10+'Comp - Retail'!AT10</f>
        <v>0</v>
      </c>
      <c r="AU10" s="40" t="n">
        <f aca="false">'Comp - Hotel'!AU10+'Comp - Centre'!AU10+'Comp - Retail'!AU10</f>
        <v>0</v>
      </c>
      <c r="AV10" s="40" t="n">
        <f aca="false">'Comp - Hotel'!AV10+'Comp - Centre'!AV10+'Comp - Retail'!AV10</f>
        <v>0</v>
      </c>
      <c r="AW10" s="40" t="n">
        <f aca="false">'Comp - Hotel'!AW10+'Comp - Centre'!AW10+'Comp - Retail'!AW10</f>
        <v>0</v>
      </c>
      <c r="AX10" s="40" t="n">
        <f aca="false">'Comp - Hotel'!AX10+'Comp - Centre'!AX10+'Comp - Retail'!AX10</f>
        <v>0</v>
      </c>
      <c r="AY10" s="40" t="n">
        <f aca="false">'Comp - Hotel'!AY10+'Comp - Centre'!AY10+'Comp - Retail'!AY10</f>
        <v>0</v>
      </c>
      <c r="AZ10" s="40" t="n">
        <f aca="false">'Comp - Hotel'!AZ10+'Comp - Centre'!AZ10+'Comp - Retail'!AZ10</f>
        <v>0</v>
      </c>
    </row>
    <row r="11" customFormat="false" ht="15" hidden="false" customHeight="true" outlineLevel="0" collapsed="false">
      <c r="A11" s="13" t="s">
        <v>72</v>
      </c>
      <c r="C11" s="41" t="n">
        <f aca="false">SUM(D11:AZ11)</f>
        <v>60</v>
      </c>
      <c r="D11" s="40" t="n">
        <f aca="false">'Comp - Hotel'!D11+'Comp - Centre'!D11+'Comp - Retail'!D11</f>
        <v>0</v>
      </c>
      <c r="E11" s="40" t="n">
        <f aca="false">'Comp - Hotel'!E11+'Comp - Centre'!E11+'Comp - Retail'!E11</f>
        <v>21.8</v>
      </c>
      <c r="F11" s="40" t="n">
        <f aca="false">'Comp - Hotel'!F11+'Comp - Centre'!F11+'Comp - Retail'!F11</f>
        <v>38.2</v>
      </c>
      <c r="G11" s="40" t="n">
        <f aca="false">'Comp - Hotel'!G11+'Comp - Centre'!G11+'Comp - Retail'!G11</f>
        <v>0</v>
      </c>
      <c r="H11" s="40" t="n">
        <f aca="false">'Comp - Hotel'!H11+'Comp - Centre'!H11+'Comp - Retail'!H11</f>
        <v>0</v>
      </c>
      <c r="I11" s="40" t="n">
        <f aca="false">'Comp - Hotel'!I11+'Comp - Centre'!I11+'Comp - Retail'!I11</f>
        <v>0</v>
      </c>
      <c r="J11" s="40" t="n">
        <f aca="false">'Comp - Hotel'!J11+'Comp - Centre'!J11+'Comp - Retail'!J11</f>
        <v>0</v>
      </c>
      <c r="K11" s="40" t="n">
        <f aca="false">'Comp - Hotel'!K11+'Comp - Centre'!K11+'Comp - Retail'!K11</f>
        <v>0</v>
      </c>
      <c r="L11" s="40" t="n">
        <f aca="false">'Comp - Hotel'!L11+'Comp - Centre'!L11+'Comp - Retail'!L11</f>
        <v>0</v>
      </c>
      <c r="M11" s="40" t="n">
        <f aca="false">'Comp - Hotel'!M11+'Comp - Centre'!M11+'Comp - Retail'!M11</f>
        <v>0</v>
      </c>
      <c r="N11" s="40" t="n">
        <f aca="false">'Comp - Hotel'!N11+'Comp - Centre'!N11+'Comp - Retail'!N11</f>
        <v>0</v>
      </c>
      <c r="O11" s="40" t="n">
        <f aca="false">'Comp - Hotel'!O11+'Comp - Centre'!O11+'Comp - Retail'!O11</f>
        <v>0</v>
      </c>
      <c r="P11" s="40" t="n">
        <f aca="false">'Comp - Hotel'!P11+'Comp - Centre'!P11+'Comp - Retail'!P11</f>
        <v>0</v>
      </c>
      <c r="Q11" s="40" t="n">
        <f aca="false">'Comp - Hotel'!Q11+'Comp - Centre'!Q11+'Comp - Retail'!Q11</f>
        <v>0</v>
      </c>
      <c r="R11" s="40" t="n">
        <f aca="false">'Comp - Hotel'!R11+'Comp - Centre'!R11+'Comp - Retail'!R11</f>
        <v>0</v>
      </c>
      <c r="S11" s="40" t="n">
        <f aca="false">'Comp - Hotel'!S11+'Comp - Centre'!S11+'Comp - Retail'!S11</f>
        <v>0</v>
      </c>
      <c r="T11" s="40" t="n">
        <f aca="false">'Comp - Hotel'!T11+'Comp - Centre'!T11+'Comp - Retail'!T11</f>
        <v>0</v>
      </c>
      <c r="U11" s="40" t="n">
        <f aca="false">'Comp - Hotel'!U11+'Comp - Centre'!U11+'Comp - Retail'!U11</f>
        <v>0</v>
      </c>
      <c r="V11" s="40" t="n">
        <f aca="false">'Comp - Hotel'!V11+'Comp - Centre'!V11+'Comp - Retail'!V11</f>
        <v>0</v>
      </c>
      <c r="W11" s="40" t="n">
        <f aca="false">'Comp - Hotel'!W11+'Comp - Centre'!W11+'Comp - Retail'!W11</f>
        <v>0</v>
      </c>
      <c r="X11" s="40" t="n">
        <f aca="false">'Comp - Hotel'!X11+'Comp - Centre'!X11+'Comp - Retail'!X11</f>
        <v>0</v>
      </c>
      <c r="Y11" s="40" t="n">
        <f aca="false">'Comp - Hotel'!Y11+'Comp - Centre'!Y11+'Comp - Retail'!Y11</f>
        <v>0</v>
      </c>
      <c r="Z11" s="40" t="n">
        <f aca="false">'Comp - Hotel'!Z11+'Comp - Centre'!Z11+'Comp - Retail'!Z11</f>
        <v>0</v>
      </c>
      <c r="AA11" s="40" t="n">
        <f aca="false">'Comp - Hotel'!AA11+'Comp - Centre'!AA11+'Comp - Retail'!AA11</f>
        <v>0</v>
      </c>
      <c r="AB11" s="40" t="n">
        <f aca="false">'Comp - Hotel'!AB11+'Comp - Centre'!AB11+'Comp - Retail'!AB11</f>
        <v>0</v>
      </c>
      <c r="AC11" s="40" t="n">
        <f aca="false">'Comp - Hotel'!AC11+'Comp - Centre'!AC11+'Comp - Retail'!AC11</f>
        <v>0</v>
      </c>
      <c r="AD11" s="40" t="n">
        <f aca="false">'Comp - Hotel'!AD11+'Comp - Centre'!AD11+'Comp - Retail'!AD11</f>
        <v>0</v>
      </c>
      <c r="AE11" s="40" t="n">
        <f aca="false">'Comp - Hotel'!AE11+'Comp - Centre'!AE11+'Comp - Retail'!AE11</f>
        <v>0</v>
      </c>
      <c r="AF11" s="40" t="n">
        <f aca="false">'Comp - Hotel'!AF11+'Comp - Centre'!AF11+'Comp - Retail'!AF11</f>
        <v>0</v>
      </c>
      <c r="AG11" s="40" t="n">
        <f aca="false">'Comp - Hotel'!AG11+'Comp - Centre'!AG11+'Comp - Retail'!AG11</f>
        <v>0</v>
      </c>
      <c r="AH11" s="40" t="n">
        <f aca="false">'Comp - Hotel'!AH11+'Comp - Centre'!AH11+'Comp - Retail'!AH11</f>
        <v>0</v>
      </c>
      <c r="AI11" s="40" t="n">
        <f aca="false">'Comp - Hotel'!AI11+'Comp - Centre'!AI11+'Comp - Retail'!AI11</f>
        <v>0</v>
      </c>
      <c r="AJ11" s="40" t="n">
        <f aca="false">'Comp - Hotel'!AJ11+'Comp - Centre'!AJ11+'Comp - Retail'!AJ11</f>
        <v>0</v>
      </c>
      <c r="AK11" s="40" t="n">
        <f aca="false">'Comp - Hotel'!AK11+'Comp - Centre'!AK11+'Comp - Retail'!AK11</f>
        <v>0</v>
      </c>
      <c r="AL11" s="40" t="n">
        <f aca="false">'Comp - Hotel'!AL11+'Comp - Centre'!AL11+'Comp - Retail'!AL11</f>
        <v>0</v>
      </c>
      <c r="AM11" s="40" t="n">
        <f aca="false">'Comp - Hotel'!AM11+'Comp - Centre'!AM11+'Comp - Retail'!AM11</f>
        <v>0</v>
      </c>
      <c r="AN11" s="40" t="n">
        <f aca="false">'Comp - Hotel'!AN11+'Comp - Centre'!AN11+'Comp - Retail'!AN11</f>
        <v>0</v>
      </c>
      <c r="AO11" s="40" t="n">
        <f aca="false">'Comp - Hotel'!AO11+'Comp - Centre'!AO11+'Comp - Retail'!AO11</f>
        <v>0</v>
      </c>
      <c r="AP11" s="40" t="n">
        <f aca="false">'Comp - Hotel'!AP11+'Comp - Centre'!AP11+'Comp - Retail'!AP11</f>
        <v>0</v>
      </c>
      <c r="AQ11" s="40" t="n">
        <f aca="false">'Comp - Hotel'!AQ11+'Comp - Centre'!AQ11+'Comp - Retail'!AQ11</f>
        <v>0</v>
      </c>
      <c r="AR11" s="40" t="n">
        <f aca="false">'Comp - Hotel'!AR11+'Comp - Centre'!AR11+'Comp - Retail'!AR11</f>
        <v>0</v>
      </c>
      <c r="AS11" s="40" t="n">
        <f aca="false">'Comp - Hotel'!AS11+'Comp - Centre'!AS11+'Comp - Retail'!AS11</f>
        <v>0</v>
      </c>
      <c r="AT11" s="40" t="n">
        <f aca="false">'Comp - Hotel'!AT11+'Comp - Centre'!AT11+'Comp - Retail'!AT11</f>
        <v>0</v>
      </c>
      <c r="AU11" s="40" t="n">
        <f aca="false">'Comp - Hotel'!AU11+'Comp - Centre'!AU11+'Comp - Retail'!AU11</f>
        <v>0</v>
      </c>
      <c r="AV11" s="40" t="n">
        <f aca="false">'Comp - Hotel'!AV11+'Comp - Centre'!AV11+'Comp - Retail'!AV11</f>
        <v>0</v>
      </c>
      <c r="AW11" s="40" t="n">
        <f aca="false">'Comp - Hotel'!AW11+'Comp - Centre'!AW11+'Comp - Retail'!AW11</f>
        <v>0</v>
      </c>
      <c r="AX11" s="40" t="n">
        <f aca="false">'Comp - Hotel'!AX11+'Comp - Centre'!AX11+'Comp - Retail'!AX11</f>
        <v>0</v>
      </c>
      <c r="AY11" s="40" t="n">
        <f aca="false">'Comp - Hotel'!AY11+'Comp - Centre'!AY11+'Comp - Retail'!AY11</f>
        <v>0</v>
      </c>
      <c r="AZ11" s="40" t="n">
        <f aca="false">'Comp - Hotel'!AZ11+'Comp - Centre'!AZ11+'Comp - Retail'!AZ11</f>
        <v>0</v>
      </c>
    </row>
    <row r="12" customFormat="false" ht="15" hidden="false" customHeight="true" outlineLevel="0" collapsed="false">
      <c r="A12" s="13" t="s">
        <v>73</v>
      </c>
      <c r="C12" s="41" t="n">
        <f aca="false">SUM(D12:AZ12)</f>
        <v>11</v>
      </c>
      <c r="D12" s="40" t="n">
        <f aca="false">'Comp - Hotel'!D12+'Comp - Centre'!D12+'Comp - Retail'!D12</f>
        <v>0.811815015443544</v>
      </c>
      <c r="E12" s="40" t="n">
        <f aca="false">'Comp - Hotel'!E12+'Comp - Centre'!E12+'Comp - Retail'!E12</f>
        <v>5.44726006177418</v>
      </c>
      <c r="F12" s="40" t="n">
        <f aca="false">'Comp - Hotel'!F12+'Comp - Centre'!F12+'Comp - Retail'!F12</f>
        <v>3.70822591698978</v>
      </c>
      <c r="G12" s="40" t="n">
        <f aca="false">'Comp - Hotel'!G12+'Comp - Centre'!G12+'Comp - Retail'!G12</f>
        <v>1.0326990057925</v>
      </c>
      <c r="H12" s="40" t="n">
        <f aca="false">'Comp - Hotel'!H12+'Comp - Centre'!H12+'Comp - Retail'!H12</f>
        <v>0</v>
      </c>
      <c r="I12" s="40" t="n">
        <f aca="false">'Comp - Hotel'!I12+'Comp - Centre'!I12+'Comp - Retail'!I12</f>
        <v>0</v>
      </c>
      <c r="J12" s="40" t="n">
        <f aca="false">'Comp - Hotel'!J12+'Comp - Centre'!J12+'Comp - Retail'!J12</f>
        <v>0</v>
      </c>
      <c r="K12" s="40" t="n">
        <f aca="false">'Comp - Hotel'!K12+'Comp - Centre'!K12+'Comp - Retail'!K12</f>
        <v>0</v>
      </c>
      <c r="L12" s="40" t="n">
        <f aca="false">'Comp - Hotel'!L12+'Comp - Centre'!L12+'Comp - Retail'!L12</f>
        <v>0</v>
      </c>
      <c r="M12" s="40" t="n">
        <f aca="false">'Comp - Hotel'!M12+'Comp - Centre'!M12+'Comp - Retail'!M12</f>
        <v>0</v>
      </c>
      <c r="N12" s="40" t="n">
        <f aca="false">'Comp - Hotel'!N12+'Comp - Centre'!N12+'Comp - Retail'!N12</f>
        <v>0</v>
      </c>
      <c r="O12" s="40" t="n">
        <f aca="false">'Comp - Hotel'!O12+'Comp - Centre'!O12+'Comp - Retail'!O12</f>
        <v>0</v>
      </c>
      <c r="P12" s="40" t="n">
        <f aca="false">'Comp - Hotel'!P12+'Comp - Centre'!P12+'Comp - Retail'!P12</f>
        <v>0</v>
      </c>
      <c r="Q12" s="40" t="n">
        <f aca="false">'Comp - Hotel'!Q12+'Comp - Centre'!Q12+'Comp - Retail'!Q12</f>
        <v>0</v>
      </c>
      <c r="R12" s="40" t="n">
        <f aca="false">'Comp - Hotel'!R12+'Comp - Centre'!R12+'Comp - Retail'!R12</f>
        <v>0</v>
      </c>
      <c r="S12" s="40" t="n">
        <f aca="false">'Comp - Hotel'!S12+'Comp - Centre'!S12+'Comp - Retail'!S12</f>
        <v>0</v>
      </c>
      <c r="T12" s="40" t="n">
        <f aca="false">'Comp - Hotel'!T12+'Comp - Centre'!T12+'Comp - Retail'!T12</f>
        <v>0</v>
      </c>
      <c r="U12" s="40" t="n">
        <f aca="false">'Comp - Hotel'!U12+'Comp - Centre'!U12+'Comp - Retail'!U12</f>
        <v>0</v>
      </c>
      <c r="V12" s="40" t="n">
        <f aca="false">'Comp - Hotel'!V12+'Comp - Centre'!V12+'Comp - Retail'!V12</f>
        <v>0</v>
      </c>
      <c r="W12" s="40" t="n">
        <f aca="false">'Comp - Hotel'!W12+'Comp - Centre'!W12+'Comp - Retail'!W12</f>
        <v>0</v>
      </c>
      <c r="X12" s="40" t="n">
        <f aca="false">'Comp - Hotel'!X12+'Comp - Centre'!X12+'Comp - Retail'!X12</f>
        <v>0</v>
      </c>
      <c r="Y12" s="40" t="n">
        <f aca="false">'Comp - Hotel'!Y12+'Comp - Centre'!Y12+'Comp - Retail'!Y12</f>
        <v>0</v>
      </c>
      <c r="Z12" s="40" t="n">
        <f aca="false">'Comp - Hotel'!Z12+'Comp - Centre'!Z12+'Comp - Retail'!Z12</f>
        <v>0</v>
      </c>
      <c r="AA12" s="40" t="n">
        <f aca="false">'Comp - Hotel'!AA12+'Comp - Centre'!AA12+'Comp - Retail'!AA12</f>
        <v>0</v>
      </c>
      <c r="AB12" s="40" t="n">
        <f aca="false">'Comp - Hotel'!AB12+'Comp - Centre'!AB12+'Comp - Retail'!AB12</f>
        <v>0</v>
      </c>
      <c r="AC12" s="40" t="n">
        <f aca="false">'Comp - Hotel'!AC12+'Comp - Centre'!AC12+'Comp - Retail'!AC12</f>
        <v>0</v>
      </c>
      <c r="AD12" s="40" t="n">
        <f aca="false">'Comp - Hotel'!AD12+'Comp - Centre'!AD12+'Comp - Retail'!AD12</f>
        <v>0</v>
      </c>
      <c r="AE12" s="40" t="n">
        <f aca="false">'Comp - Hotel'!AE12+'Comp - Centre'!AE12+'Comp - Retail'!AE12</f>
        <v>0</v>
      </c>
      <c r="AF12" s="40" t="n">
        <f aca="false">'Comp - Hotel'!AF12+'Comp - Centre'!AF12+'Comp - Retail'!AF12</f>
        <v>0</v>
      </c>
      <c r="AG12" s="40" t="n">
        <f aca="false">'Comp - Hotel'!AG12+'Comp - Centre'!AG12+'Comp - Retail'!AG12</f>
        <v>0</v>
      </c>
      <c r="AH12" s="40" t="n">
        <f aca="false">'Comp - Hotel'!AH12+'Comp - Centre'!AH12+'Comp - Retail'!AH12</f>
        <v>0</v>
      </c>
      <c r="AI12" s="40" t="n">
        <f aca="false">'Comp - Hotel'!AI12+'Comp - Centre'!AI12+'Comp - Retail'!AI12</f>
        <v>0</v>
      </c>
      <c r="AJ12" s="40" t="n">
        <f aca="false">'Comp - Hotel'!AJ12+'Comp - Centre'!AJ12+'Comp - Retail'!AJ12</f>
        <v>0</v>
      </c>
      <c r="AK12" s="40" t="n">
        <f aca="false">'Comp - Hotel'!AK12+'Comp - Centre'!AK12+'Comp - Retail'!AK12</f>
        <v>0</v>
      </c>
      <c r="AL12" s="40" t="n">
        <f aca="false">'Comp - Hotel'!AL12+'Comp - Centre'!AL12+'Comp - Retail'!AL12</f>
        <v>0</v>
      </c>
      <c r="AM12" s="40" t="n">
        <f aca="false">'Comp - Hotel'!AM12+'Comp - Centre'!AM12+'Comp - Retail'!AM12</f>
        <v>0</v>
      </c>
      <c r="AN12" s="40" t="n">
        <f aca="false">'Comp - Hotel'!AN12+'Comp - Centre'!AN12+'Comp - Retail'!AN12</f>
        <v>0</v>
      </c>
      <c r="AO12" s="40" t="n">
        <f aca="false">'Comp - Hotel'!AO12+'Comp - Centre'!AO12+'Comp - Retail'!AO12</f>
        <v>0</v>
      </c>
      <c r="AP12" s="40" t="n">
        <f aca="false">'Comp - Hotel'!AP12+'Comp - Centre'!AP12+'Comp - Retail'!AP12</f>
        <v>0</v>
      </c>
      <c r="AQ12" s="40" t="n">
        <f aca="false">'Comp - Hotel'!AQ12+'Comp - Centre'!AQ12+'Comp - Retail'!AQ12</f>
        <v>0</v>
      </c>
      <c r="AR12" s="40" t="n">
        <f aca="false">'Comp - Hotel'!AR12+'Comp - Centre'!AR12+'Comp - Retail'!AR12</f>
        <v>0</v>
      </c>
      <c r="AS12" s="40" t="n">
        <f aca="false">'Comp - Hotel'!AS12+'Comp - Centre'!AS12+'Comp - Retail'!AS12</f>
        <v>0</v>
      </c>
      <c r="AT12" s="40" t="n">
        <f aca="false">'Comp - Hotel'!AT12+'Comp - Centre'!AT12+'Comp - Retail'!AT12</f>
        <v>0</v>
      </c>
      <c r="AU12" s="40" t="n">
        <f aca="false">'Comp - Hotel'!AU12+'Comp - Centre'!AU12+'Comp - Retail'!AU12</f>
        <v>0</v>
      </c>
      <c r="AV12" s="40" t="n">
        <f aca="false">'Comp - Hotel'!AV12+'Comp - Centre'!AV12+'Comp - Retail'!AV12</f>
        <v>0</v>
      </c>
      <c r="AW12" s="40" t="n">
        <f aca="false">'Comp - Hotel'!AW12+'Comp - Centre'!AW12+'Comp - Retail'!AW12</f>
        <v>0</v>
      </c>
      <c r="AX12" s="40" t="n">
        <f aca="false">'Comp - Hotel'!AX12+'Comp - Centre'!AX12+'Comp - Retail'!AX12</f>
        <v>0</v>
      </c>
      <c r="AY12" s="40" t="n">
        <f aca="false">'Comp - Hotel'!AY12+'Comp - Centre'!AY12+'Comp - Retail'!AY12</f>
        <v>0</v>
      </c>
      <c r="AZ12" s="40" t="n">
        <f aca="false">'Comp - Hotel'!AZ12+'Comp - Centre'!AZ12+'Comp - Retail'!AZ12</f>
        <v>0</v>
      </c>
    </row>
    <row r="13" customFormat="false" ht="15" hidden="false" customHeight="true" outlineLevel="0" collapsed="false">
      <c r="A13" s="13" t="s">
        <v>74</v>
      </c>
      <c r="C13" s="41" t="n">
        <f aca="false">SUM(D13:AZ13)</f>
        <v>4</v>
      </c>
      <c r="D13" s="40" t="n">
        <f aca="false">'Comp - Hotel'!D13+'Comp - Centre'!D13+'Comp - Retail'!D13</f>
        <v>0.499578471042181</v>
      </c>
      <c r="E13" s="40" t="n">
        <f aca="false">'Comp - Hotel'!E13+'Comp - Centre'!E13+'Comp - Retail'!E13</f>
        <v>1.54936770656327</v>
      </c>
      <c r="F13" s="40" t="n">
        <f aca="false">'Comp - Hotel'!F13+'Comp - Centre'!F13+'Comp - Retail'!F13</f>
        <v>1.57552691119727</v>
      </c>
      <c r="G13" s="40" t="n">
        <f aca="false">'Comp - Hotel'!G13+'Comp - Centre'!G13+'Comp - Retail'!G13</f>
        <v>0.375526911197274</v>
      </c>
      <c r="H13" s="40" t="n">
        <f aca="false">'Comp - Hotel'!H13+'Comp - Centre'!H13+'Comp - Retail'!H13</f>
        <v>0</v>
      </c>
      <c r="I13" s="40" t="n">
        <f aca="false">'Comp - Hotel'!I13+'Comp - Centre'!I13+'Comp - Retail'!I13</f>
        <v>0</v>
      </c>
      <c r="J13" s="40" t="n">
        <f aca="false">'Comp - Hotel'!J13+'Comp - Centre'!J13+'Comp - Retail'!J13</f>
        <v>0</v>
      </c>
      <c r="K13" s="40" t="n">
        <f aca="false">'Comp - Hotel'!K13+'Comp - Centre'!K13+'Comp - Retail'!K13</f>
        <v>0</v>
      </c>
      <c r="L13" s="40" t="n">
        <f aca="false">'Comp - Hotel'!L13+'Comp - Centre'!L13+'Comp - Retail'!L13</f>
        <v>0</v>
      </c>
      <c r="M13" s="40" t="n">
        <f aca="false">'Comp - Hotel'!M13+'Comp - Centre'!M13+'Comp - Retail'!M13</f>
        <v>0</v>
      </c>
      <c r="N13" s="40" t="n">
        <f aca="false">'Comp - Hotel'!N13+'Comp - Centre'!N13+'Comp - Retail'!N13</f>
        <v>0</v>
      </c>
      <c r="O13" s="40" t="n">
        <f aca="false">'Comp - Hotel'!O13+'Comp - Centre'!O13+'Comp - Retail'!O13</f>
        <v>0</v>
      </c>
      <c r="P13" s="40" t="n">
        <f aca="false">'Comp - Hotel'!P13+'Comp - Centre'!P13+'Comp - Retail'!P13</f>
        <v>0</v>
      </c>
      <c r="Q13" s="40" t="n">
        <f aca="false">'Comp - Hotel'!Q13+'Comp - Centre'!Q13+'Comp - Retail'!Q13</f>
        <v>0</v>
      </c>
      <c r="R13" s="40" t="n">
        <f aca="false">'Comp - Hotel'!R13+'Comp - Centre'!R13+'Comp - Retail'!R13</f>
        <v>0</v>
      </c>
      <c r="S13" s="40" t="n">
        <f aca="false">'Comp - Hotel'!S13+'Comp - Centre'!S13+'Comp - Retail'!S13</f>
        <v>0</v>
      </c>
      <c r="T13" s="40" t="n">
        <f aca="false">'Comp - Hotel'!T13+'Comp - Centre'!T13+'Comp - Retail'!T13</f>
        <v>0</v>
      </c>
      <c r="U13" s="40" t="n">
        <f aca="false">'Comp - Hotel'!U13+'Comp - Centre'!U13+'Comp - Retail'!U13</f>
        <v>0</v>
      </c>
      <c r="V13" s="40" t="n">
        <f aca="false">'Comp - Hotel'!V13+'Comp - Centre'!V13+'Comp - Retail'!V13</f>
        <v>0</v>
      </c>
      <c r="W13" s="40" t="n">
        <f aca="false">'Comp - Hotel'!W13+'Comp - Centre'!W13+'Comp - Retail'!W13</f>
        <v>0</v>
      </c>
      <c r="X13" s="40" t="n">
        <f aca="false">'Comp - Hotel'!X13+'Comp - Centre'!X13+'Comp - Retail'!X13</f>
        <v>0</v>
      </c>
      <c r="Y13" s="40" t="n">
        <f aca="false">'Comp - Hotel'!Y13+'Comp - Centre'!Y13+'Comp - Retail'!Y13</f>
        <v>0</v>
      </c>
      <c r="Z13" s="40" t="n">
        <f aca="false">'Comp - Hotel'!Z13+'Comp - Centre'!Z13+'Comp - Retail'!Z13</f>
        <v>0</v>
      </c>
      <c r="AA13" s="40" t="n">
        <f aca="false">'Comp - Hotel'!AA13+'Comp - Centre'!AA13+'Comp - Retail'!AA13</f>
        <v>0</v>
      </c>
      <c r="AB13" s="40" t="n">
        <f aca="false">'Comp - Hotel'!AB13+'Comp - Centre'!AB13+'Comp - Retail'!AB13</f>
        <v>0</v>
      </c>
      <c r="AC13" s="40" t="n">
        <f aca="false">'Comp - Hotel'!AC13+'Comp - Centre'!AC13+'Comp - Retail'!AC13</f>
        <v>0</v>
      </c>
      <c r="AD13" s="40" t="n">
        <f aca="false">'Comp - Hotel'!AD13+'Comp - Centre'!AD13+'Comp - Retail'!AD13</f>
        <v>0</v>
      </c>
      <c r="AE13" s="40" t="n">
        <f aca="false">'Comp - Hotel'!AE13+'Comp - Centre'!AE13+'Comp - Retail'!AE13</f>
        <v>0</v>
      </c>
      <c r="AF13" s="40" t="n">
        <f aca="false">'Comp - Hotel'!AF13+'Comp - Centre'!AF13+'Comp - Retail'!AF13</f>
        <v>0</v>
      </c>
      <c r="AG13" s="40" t="n">
        <f aca="false">'Comp - Hotel'!AG13+'Comp - Centre'!AG13+'Comp - Retail'!AG13</f>
        <v>0</v>
      </c>
      <c r="AH13" s="40" t="n">
        <f aca="false">'Comp - Hotel'!AH13+'Comp - Centre'!AH13+'Comp - Retail'!AH13</f>
        <v>0</v>
      </c>
      <c r="AI13" s="40" t="n">
        <f aca="false">'Comp - Hotel'!AI13+'Comp - Centre'!AI13+'Comp - Retail'!AI13</f>
        <v>0</v>
      </c>
      <c r="AJ13" s="40" t="n">
        <f aca="false">'Comp - Hotel'!AJ13+'Comp - Centre'!AJ13+'Comp - Retail'!AJ13</f>
        <v>0</v>
      </c>
      <c r="AK13" s="40" t="n">
        <f aca="false">'Comp - Hotel'!AK13+'Comp - Centre'!AK13+'Comp - Retail'!AK13</f>
        <v>0</v>
      </c>
      <c r="AL13" s="40" t="n">
        <f aca="false">'Comp - Hotel'!AL13+'Comp - Centre'!AL13+'Comp - Retail'!AL13</f>
        <v>0</v>
      </c>
      <c r="AM13" s="40" t="n">
        <f aca="false">'Comp - Hotel'!AM13+'Comp - Centre'!AM13+'Comp - Retail'!AM13</f>
        <v>0</v>
      </c>
      <c r="AN13" s="40" t="n">
        <f aca="false">'Comp - Hotel'!AN13+'Comp - Centre'!AN13+'Comp - Retail'!AN13</f>
        <v>0</v>
      </c>
      <c r="AO13" s="40" t="n">
        <f aca="false">'Comp - Hotel'!AO13+'Comp - Centre'!AO13+'Comp - Retail'!AO13</f>
        <v>0</v>
      </c>
      <c r="AP13" s="40" t="n">
        <f aca="false">'Comp - Hotel'!AP13+'Comp - Centre'!AP13+'Comp - Retail'!AP13</f>
        <v>0</v>
      </c>
      <c r="AQ13" s="40" t="n">
        <f aca="false">'Comp - Hotel'!AQ13+'Comp - Centre'!AQ13+'Comp - Retail'!AQ13</f>
        <v>0</v>
      </c>
      <c r="AR13" s="40" t="n">
        <f aca="false">'Comp - Hotel'!AR13+'Comp - Centre'!AR13+'Comp - Retail'!AR13</f>
        <v>0</v>
      </c>
      <c r="AS13" s="40" t="n">
        <f aca="false">'Comp - Hotel'!AS13+'Comp - Centre'!AS13+'Comp - Retail'!AS13</f>
        <v>0</v>
      </c>
      <c r="AT13" s="40" t="n">
        <f aca="false">'Comp - Hotel'!AT13+'Comp - Centre'!AT13+'Comp - Retail'!AT13</f>
        <v>0</v>
      </c>
      <c r="AU13" s="40" t="n">
        <f aca="false">'Comp - Hotel'!AU13+'Comp - Centre'!AU13+'Comp - Retail'!AU13</f>
        <v>0</v>
      </c>
      <c r="AV13" s="40" t="n">
        <f aca="false">'Comp - Hotel'!AV13+'Comp - Centre'!AV13+'Comp - Retail'!AV13</f>
        <v>0</v>
      </c>
      <c r="AW13" s="40" t="n">
        <f aca="false">'Comp - Hotel'!AW13+'Comp - Centre'!AW13+'Comp - Retail'!AW13</f>
        <v>0</v>
      </c>
      <c r="AX13" s="40" t="n">
        <f aca="false">'Comp - Hotel'!AX13+'Comp - Centre'!AX13+'Comp - Retail'!AX13</f>
        <v>0</v>
      </c>
      <c r="AY13" s="40" t="n">
        <f aca="false">'Comp - Hotel'!AY13+'Comp - Centre'!AY13+'Comp - Retail'!AY13</f>
        <v>0</v>
      </c>
      <c r="AZ13" s="40" t="n">
        <f aca="false">'Comp - Hotel'!AZ13+'Comp - Centre'!AZ13+'Comp - Retail'!AZ13</f>
        <v>0</v>
      </c>
    </row>
    <row r="14" customFormat="false" ht="15" hidden="false" customHeight="true" outlineLevel="0" collapsed="false">
      <c r="A14" s="13" t="s">
        <v>75</v>
      </c>
      <c r="C14" s="41" t="n">
        <f aca="false">SUM(D14:AZ14)</f>
        <v>15</v>
      </c>
      <c r="D14" s="40" t="n">
        <f aca="false">'Comp - Hotel'!D14+'Comp - Centre'!D14+'Comp - Retail'!D14</f>
        <v>7.36878244787217</v>
      </c>
      <c r="E14" s="40" t="n">
        <f aca="false">'Comp - Hotel'!E14+'Comp - Centre'!E14+'Comp - Retail'!E14</f>
        <v>3.12489461776055</v>
      </c>
      <c r="F14" s="40" t="n">
        <f aca="false">'Comp - Hotel'!F14+'Comp - Centre'!F14+'Comp - Retail'!F14</f>
        <v>3.09809701737751</v>
      </c>
      <c r="G14" s="40" t="n">
        <f aca="false">'Comp - Hotel'!G14+'Comp - Centre'!G14+'Comp - Retail'!G14</f>
        <v>1.40822591698978</v>
      </c>
      <c r="H14" s="40" t="n">
        <f aca="false">'Comp - Hotel'!H14+'Comp - Centre'!H14+'Comp - Retail'!H14</f>
        <v>0</v>
      </c>
      <c r="I14" s="40" t="n">
        <f aca="false">'Comp - Hotel'!I14+'Comp - Centre'!I14+'Comp - Retail'!I14</f>
        <v>0</v>
      </c>
      <c r="J14" s="40" t="n">
        <f aca="false">'Comp - Hotel'!J14+'Comp - Centre'!J14+'Comp - Retail'!J14</f>
        <v>0</v>
      </c>
      <c r="K14" s="40" t="n">
        <f aca="false">'Comp - Hotel'!K14+'Comp - Centre'!K14+'Comp - Retail'!K14</f>
        <v>0</v>
      </c>
      <c r="L14" s="40" t="n">
        <f aca="false">'Comp - Hotel'!L14+'Comp - Centre'!L14+'Comp - Retail'!L14</f>
        <v>0</v>
      </c>
      <c r="M14" s="40" t="n">
        <f aca="false">'Comp - Hotel'!M14+'Comp - Centre'!M14+'Comp - Retail'!M14</f>
        <v>0</v>
      </c>
      <c r="N14" s="40" t="n">
        <f aca="false">'Comp - Hotel'!N14+'Comp - Centre'!N14+'Comp - Retail'!N14</f>
        <v>0</v>
      </c>
      <c r="O14" s="40" t="n">
        <f aca="false">'Comp - Hotel'!O14+'Comp - Centre'!O14+'Comp - Retail'!O14</f>
        <v>0</v>
      </c>
      <c r="P14" s="40" t="n">
        <f aca="false">'Comp - Hotel'!P14+'Comp - Centre'!P14+'Comp - Retail'!P14</f>
        <v>0</v>
      </c>
      <c r="Q14" s="40" t="n">
        <f aca="false">'Comp - Hotel'!Q14+'Comp - Centre'!Q14+'Comp - Retail'!Q14</f>
        <v>0</v>
      </c>
      <c r="R14" s="40" t="n">
        <f aca="false">'Comp - Hotel'!R14+'Comp - Centre'!R14+'Comp - Retail'!R14</f>
        <v>0</v>
      </c>
      <c r="S14" s="40" t="n">
        <f aca="false">'Comp - Hotel'!S14+'Comp - Centre'!S14+'Comp - Retail'!S14</f>
        <v>0</v>
      </c>
      <c r="T14" s="40" t="n">
        <f aca="false">'Comp - Hotel'!T14+'Comp - Centre'!T14+'Comp - Retail'!T14</f>
        <v>0</v>
      </c>
      <c r="U14" s="40" t="n">
        <f aca="false">'Comp - Hotel'!U14+'Comp - Centre'!U14+'Comp - Retail'!U14</f>
        <v>0</v>
      </c>
      <c r="V14" s="40" t="n">
        <f aca="false">'Comp - Hotel'!V14+'Comp - Centre'!V14+'Comp - Retail'!V14</f>
        <v>0</v>
      </c>
      <c r="W14" s="40" t="n">
        <f aca="false">'Comp - Hotel'!W14+'Comp - Centre'!W14+'Comp - Retail'!W14</f>
        <v>0</v>
      </c>
      <c r="X14" s="40" t="n">
        <f aca="false">'Comp - Hotel'!X14+'Comp - Centre'!X14+'Comp - Retail'!X14</f>
        <v>0</v>
      </c>
      <c r="Y14" s="40" t="n">
        <f aca="false">'Comp - Hotel'!Y14+'Comp - Centre'!Y14+'Comp - Retail'!Y14</f>
        <v>0</v>
      </c>
      <c r="Z14" s="40" t="n">
        <f aca="false">'Comp - Hotel'!Z14+'Comp - Centre'!Z14+'Comp - Retail'!Z14</f>
        <v>0</v>
      </c>
      <c r="AA14" s="40" t="n">
        <f aca="false">'Comp - Hotel'!AA14+'Comp - Centre'!AA14+'Comp - Retail'!AA14</f>
        <v>0</v>
      </c>
      <c r="AB14" s="40" t="n">
        <f aca="false">'Comp - Hotel'!AB14+'Comp - Centre'!AB14+'Comp - Retail'!AB14</f>
        <v>0</v>
      </c>
      <c r="AC14" s="40" t="n">
        <f aca="false">'Comp - Hotel'!AC14+'Comp - Centre'!AC14+'Comp - Retail'!AC14</f>
        <v>0</v>
      </c>
      <c r="AD14" s="40" t="n">
        <f aca="false">'Comp - Hotel'!AD14+'Comp - Centre'!AD14+'Comp - Retail'!AD14</f>
        <v>0</v>
      </c>
      <c r="AE14" s="40" t="n">
        <f aca="false">'Comp - Hotel'!AE14+'Comp - Centre'!AE14+'Comp - Retail'!AE14</f>
        <v>0</v>
      </c>
      <c r="AF14" s="40" t="n">
        <f aca="false">'Comp - Hotel'!AF14+'Comp - Centre'!AF14+'Comp - Retail'!AF14</f>
        <v>0</v>
      </c>
      <c r="AG14" s="40" t="n">
        <f aca="false">'Comp - Hotel'!AG14+'Comp - Centre'!AG14+'Comp - Retail'!AG14</f>
        <v>0</v>
      </c>
      <c r="AH14" s="40" t="n">
        <f aca="false">'Comp - Hotel'!AH14+'Comp - Centre'!AH14+'Comp - Retail'!AH14</f>
        <v>0</v>
      </c>
      <c r="AI14" s="40" t="n">
        <f aca="false">'Comp - Hotel'!AI14+'Comp - Centre'!AI14+'Comp - Retail'!AI14</f>
        <v>0</v>
      </c>
      <c r="AJ14" s="40" t="n">
        <f aca="false">'Comp - Hotel'!AJ14+'Comp - Centre'!AJ14+'Comp - Retail'!AJ14</f>
        <v>0</v>
      </c>
      <c r="AK14" s="40" t="n">
        <f aca="false">'Comp - Hotel'!AK14+'Comp - Centre'!AK14+'Comp - Retail'!AK14</f>
        <v>0</v>
      </c>
      <c r="AL14" s="40" t="n">
        <f aca="false">'Comp - Hotel'!AL14+'Comp - Centre'!AL14+'Comp - Retail'!AL14</f>
        <v>0</v>
      </c>
      <c r="AM14" s="40" t="n">
        <f aca="false">'Comp - Hotel'!AM14+'Comp - Centre'!AM14+'Comp - Retail'!AM14</f>
        <v>0</v>
      </c>
      <c r="AN14" s="40" t="n">
        <f aca="false">'Comp - Hotel'!AN14+'Comp - Centre'!AN14+'Comp - Retail'!AN14</f>
        <v>0</v>
      </c>
      <c r="AO14" s="40" t="n">
        <f aca="false">'Comp - Hotel'!AO14+'Comp - Centre'!AO14+'Comp - Retail'!AO14</f>
        <v>0</v>
      </c>
      <c r="AP14" s="40" t="n">
        <f aca="false">'Comp - Hotel'!AP14+'Comp - Centre'!AP14+'Comp - Retail'!AP14</f>
        <v>0</v>
      </c>
      <c r="AQ14" s="40" t="n">
        <f aca="false">'Comp - Hotel'!AQ14+'Comp - Centre'!AQ14+'Comp - Retail'!AQ14</f>
        <v>0</v>
      </c>
      <c r="AR14" s="40" t="n">
        <f aca="false">'Comp - Hotel'!AR14+'Comp - Centre'!AR14+'Comp - Retail'!AR14</f>
        <v>0</v>
      </c>
      <c r="AS14" s="40" t="n">
        <f aca="false">'Comp - Hotel'!AS14+'Comp - Centre'!AS14+'Comp - Retail'!AS14</f>
        <v>0</v>
      </c>
      <c r="AT14" s="40" t="n">
        <f aca="false">'Comp - Hotel'!AT14+'Comp - Centre'!AT14+'Comp - Retail'!AT14</f>
        <v>0</v>
      </c>
      <c r="AU14" s="40" t="n">
        <f aca="false">'Comp - Hotel'!AU14+'Comp - Centre'!AU14+'Comp - Retail'!AU14</f>
        <v>0</v>
      </c>
      <c r="AV14" s="40" t="n">
        <f aca="false">'Comp - Hotel'!AV14+'Comp - Centre'!AV14+'Comp - Retail'!AV14</f>
        <v>0</v>
      </c>
      <c r="AW14" s="40" t="n">
        <f aca="false">'Comp - Hotel'!AW14+'Comp - Centre'!AW14+'Comp - Retail'!AW14</f>
        <v>0</v>
      </c>
      <c r="AX14" s="40" t="n">
        <f aca="false">'Comp - Hotel'!AX14+'Comp - Centre'!AX14+'Comp - Retail'!AX14</f>
        <v>0</v>
      </c>
      <c r="AY14" s="40" t="n">
        <f aca="false">'Comp - Hotel'!AY14+'Comp - Centre'!AY14+'Comp - Retail'!AY14</f>
        <v>0</v>
      </c>
      <c r="AZ14" s="40" t="n">
        <f aca="false">'Comp - Hotel'!AZ14+'Comp - Centre'!AZ14+'Comp - Retail'!AZ14</f>
        <v>0</v>
      </c>
    </row>
    <row r="15" customFormat="false" ht="15" hidden="false" customHeight="true" outlineLevel="0" collapsed="false">
      <c r="A15" s="13" t="s">
        <v>76</v>
      </c>
      <c r="C15" s="41" t="n">
        <f aca="false">SUM(D15:AZ15)</f>
        <v>8</v>
      </c>
      <c r="D15" s="40" t="n">
        <f aca="false">'Comp - Hotel'!D15+'Comp - Centre'!D15+'Comp - Retail'!D15</f>
        <v>1.06160425096463</v>
      </c>
      <c r="E15" s="40" t="n">
        <f aca="false">'Comp - Hotel'!E15+'Comp - Centre'!E15+'Comp - Retail'!E15</f>
        <v>3.09873541312654</v>
      </c>
      <c r="F15" s="40" t="n">
        <f aca="false">'Comp - Hotel'!F15+'Comp - Centre'!F15+'Comp - Retail'!F15</f>
        <v>3.08860651351428</v>
      </c>
      <c r="G15" s="40" t="n">
        <f aca="false">'Comp - Hotel'!G15+'Comp - Centre'!G15+'Comp - Retail'!G15</f>
        <v>0.751053822394547</v>
      </c>
      <c r="H15" s="40" t="n">
        <f aca="false">'Comp - Hotel'!H15+'Comp - Centre'!H15+'Comp - Retail'!H15</f>
        <v>0</v>
      </c>
      <c r="I15" s="40" t="n">
        <f aca="false">'Comp - Hotel'!I15+'Comp - Centre'!I15+'Comp - Retail'!I15</f>
        <v>0</v>
      </c>
      <c r="J15" s="40" t="n">
        <f aca="false">'Comp - Hotel'!J15+'Comp - Centre'!J15+'Comp - Retail'!J15</f>
        <v>0</v>
      </c>
      <c r="K15" s="40" t="n">
        <f aca="false">'Comp - Hotel'!K15+'Comp - Centre'!K15+'Comp - Retail'!K15</f>
        <v>0</v>
      </c>
      <c r="L15" s="40" t="n">
        <f aca="false">'Comp - Hotel'!L15+'Comp - Centre'!L15+'Comp - Retail'!L15</f>
        <v>0</v>
      </c>
      <c r="M15" s="40" t="n">
        <f aca="false">'Comp - Hotel'!M15+'Comp - Centre'!M15+'Comp - Retail'!M15</f>
        <v>0</v>
      </c>
      <c r="N15" s="40" t="n">
        <f aca="false">'Comp - Hotel'!N15+'Comp - Centre'!N15+'Comp - Retail'!N15</f>
        <v>0</v>
      </c>
      <c r="O15" s="40" t="n">
        <f aca="false">'Comp - Hotel'!O15+'Comp - Centre'!O15+'Comp - Retail'!O15</f>
        <v>0</v>
      </c>
      <c r="P15" s="40" t="n">
        <f aca="false">'Comp - Hotel'!P15+'Comp - Centre'!P15+'Comp - Retail'!P15</f>
        <v>0</v>
      </c>
      <c r="Q15" s="40" t="n">
        <f aca="false">'Comp - Hotel'!Q15+'Comp - Centre'!Q15+'Comp - Retail'!Q15</f>
        <v>0</v>
      </c>
      <c r="R15" s="40" t="n">
        <f aca="false">'Comp - Hotel'!R15+'Comp - Centre'!R15+'Comp - Retail'!R15</f>
        <v>0</v>
      </c>
      <c r="S15" s="40" t="n">
        <f aca="false">'Comp - Hotel'!S15+'Comp - Centre'!S15+'Comp - Retail'!S15</f>
        <v>0</v>
      </c>
      <c r="T15" s="40" t="n">
        <f aca="false">'Comp - Hotel'!T15+'Comp - Centre'!T15+'Comp - Retail'!T15</f>
        <v>0</v>
      </c>
      <c r="U15" s="40" t="n">
        <f aca="false">'Comp - Hotel'!U15+'Comp - Centre'!U15+'Comp - Retail'!U15</f>
        <v>0</v>
      </c>
      <c r="V15" s="40" t="n">
        <f aca="false">'Comp - Hotel'!V15+'Comp - Centre'!V15+'Comp - Retail'!V15</f>
        <v>0</v>
      </c>
      <c r="W15" s="40" t="n">
        <f aca="false">'Comp - Hotel'!W15+'Comp - Centre'!W15+'Comp - Retail'!W15</f>
        <v>0</v>
      </c>
      <c r="X15" s="40" t="n">
        <f aca="false">'Comp - Hotel'!X15+'Comp - Centre'!X15+'Comp - Retail'!X15</f>
        <v>0</v>
      </c>
      <c r="Y15" s="40" t="n">
        <f aca="false">'Comp - Hotel'!Y15+'Comp - Centre'!Y15+'Comp - Retail'!Y15</f>
        <v>0</v>
      </c>
      <c r="Z15" s="40" t="n">
        <f aca="false">'Comp - Hotel'!Z15+'Comp - Centre'!Z15+'Comp - Retail'!Z15</f>
        <v>0</v>
      </c>
      <c r="AA15" s="40" t="n">
        <f aca="false">'Comp - Hotel'!AA15+'Comp - Centre'!AA15+'Comp - Retail'!AA15</f>
        <v>0</v>
      </c>
      <c r="AB15" s="40" t="n">
        <f aca="false">'Comp - Hotel'!AB15+'Comp - Centre'!AB15+'Comp - Retail'!AB15</f>
        <v>0</v>
      </c>
      <c r="AC15" s="40" t="n">
        <f aca="false">'Comp - Hotel'!AC15+'Comp - Centre'!AC15+'Comp - Retail'!AC15</f>
        <v>0</v>
      </c>
      <c r="AD15" s="40" t="n">
        <f aca="false">'Comp - Hotel'!AD15+'Comp - Centre'!AD15+'Comp - Retail'!AD15</f>
        <v>0</v>
      </c>
      <c r="AE15" s="40" t="n">
        <f aca="false">'Comp - Hotel'!AE15+'Comp - Centre'!AE15+'Comp - Retail'!AE15</f>
        <v>0</v>
      </c>
      <c r="AF15" s="40" t="n">
        <f aca="false">'Comp - Hotel'!AF15+'Comp - Centre'!AF15+'Comp - Retail'!AF15</f>
        <v>0</v>
      </c>
      <c r="AG15" s="40" t="n">
        <f aca="false">'Comp - Hotel'!AG15+'Comp - Centre'!AG15+'Comp - Retail'!AG15</f>
        <v>0</v>
      </c>
      <c r="AH15" s="40" t="n">
        <f aca="false">'Comp - Hotel'!AH15+'Comp - Centre'!AH15+'Comp - Retail'!AH15</f>
        <v>0</v>
      </c>
      <c r="AI15" s="40" t="n">
        <f aca="false">'Comp - Hotel'!AI15+'Comp - Centre'!AI15+'Comp - Retail'!AI15</f>
        <v>0</v>
      </c>
      <c r="AJ15" s="40" t="n">
        <f aca="false">'Comp - Hotel'!AJ15+'Comp - Centre'!AJ15+'Comp - Retail'!AJ15</f>
        <v>0</v>
      </c>
      <c r="AK15" s="40" t="n">
        <f aca="false">'Comp - Hotel'!AK15+'Comp - Centre'!AK15+'Comp - Retail'!AK15</f>
        <v>0</v>
      </c>
      <c r="AL15" s="40" t="n">
        <f aca="false">'Comp - Hotel'!AL15+'Comp - Centre'!AL15+'Comp - Retail'!AL15</f>
        <v>0</v>
      </c>
      <c r="AM15" s="40" t="n">
        <f aca="false">'Comp - Hotel'!AM15+'Comp - Centre'!AM15+'Comp - Retail'!AM15</f>
        <v>0</v>
      </c>
      <c r="AN15" s="40" t="n">
        <f aca="false">'Comp - Hotel'!AN15+'Comp - Centre'!AN15+'Comp - Retail'!AN15</f>
        <v>0</v>
      </c>
      <c r="AO15" s="40" t="n">
        <f aca="false">'Comp - Hotel'!AO15+'Comp - Centre'!AO15+'Comp - Retail'!AO15</f>
        <v>0</v>
      </c>
      <c r="AP15" s="40" t="n">
        <f aca="false">'Comp - Hotel'!AP15+'Comp - Centre'!AP15+'Comp - Retail'!AP15</f>
        <v>0</v>
      </c>
      <c r="AQ15" s="40" t="n">
        <f aca="false">'Comp - Hotel'!AQ15+'Comp - Centre'!AQ15+'Comp - Retail'!AQ15</f>
        <v>0</v>
      </c>
      <c r="AR15" s="40" t="n">
        <f aca="false">'Comp - Hotel'!AR15+'Comp - Centre'!AR15+'Comp - Retail'!AR15</f>
        <v>0</v>
      </c>
      <c r="AS15" s="40" t="n">
        <f aca="false">'Comp - Hotel'!AS15+'Comp - Centre'!AS15+'Comp - Retail'!AS15</f>
        <v>0</v>
      </c>
      <c r="AT15" s="40" t="n">
        <f aca="false">'Comp - Hotel'!AT15+'Comp - Centre'!AT15+'Comp - Retail'!AT15</f>
        <v>0</v>
      </c>
      <c r="AU15" s="40" t="n">
        <f aca="false">'Comp - Hotel'!AU15+'Comp - Centre'!AU15+'Comp - Retail'!AU15</f>
        <v>0</v>
      </c>
      <c r="AV15" s="40" t="n">
        <f aca="false">'Comp - Hotel'!AV15+'Comp - Centre'!AV15+'Comp - Retail'!AV15</f>
        <v>0</v>
      </c>
      <c r="AW15" s="40" t="n">
        <f aca="false">'Comp - Hotel'!AW15+'Comp - Centre'!AW15+'Comp - Retail'!AW15</f>
        <v>0</v>
      </c>
      <c r="AX15" s="40" t="n">
        <f aca="false">'Comp - Hotel'!AX15+'Comp - Centre'!AX15+'Comp - Retail'!AX15</f>
        <v>0</v>
      </c>
      <c r="AY15" s="40" t="n">
        <f aca="false">'Comp - Hotel'!AY15+'Comp - Centre'!AY15+'Comp - Retail'!AY15</f>
        <v>0</v>
      </c>
      <c r="AZ15" s="40" t="n">
        <f aca="false">'Comp - Hotel'!AZ15+'Comp - Centre'!AZ15+'Comp - Retail'!AZ15</f>
        <v>0</v>
      </c>
    </row>
    <row r="16" customFormat="false" ht="15" hidden="false" customHeight="true" outlineLevel="0" collapsed="false">
      <c r="A16" s="13" t="s">
        <v>77</v>
      </c>
      <c r="C16" s="41" t="n">
        <f aca="false">SUM(D16:AZ16)</f>
        <v>5</v>
      </c>
      <c r="D16" s="40" t="n">
        <f aca="false">'Comp - Hotel'!D16+'Comp - Centre'!D16+'Comp - Retail'!D16</f>
        <v>2.62278697297145</v>
      </c>
      <c r="E16" s="40" t="n">
        <f aca="false">'Comp - Hotel'!E16+'Comp - Centre'!E16+'Comp - Retail'!E16</f>
        <v>0.875105382239455</v>
      </c>
      <c r="F16" s="40" t="n">
        <f aca="false">'Comp - Hotel'!F16+'Comp - Centre'!F16+'Comp - Retail'!F16</f>
        <v>1.0326990057925</v>
      </c>
      <c r="G16" s="40" t="n">
        <f aca="false">'Comp - Hotel'!G16+'Comp - Centre'!G16+'Comp - Retail'!G16</f>
        <v>0.469408638996592</v>
      </c>
      <c r="H16" s="40" t="n">
        <f aca="false">'Comp - Hotel'!H16+'Comp - Centre'!H16+'Comp - Retail'!H16</f>
        <v>0</v>
      </c>
      <c r="I16" s="40" t="n">
        <f aca="false">'Comp - Hotel'!I16+'Comp - Centre'!I16+'Comp - Retail'!I16</f>
        <v>0</v>
      </c>
      <c r="J16" s="40" t="n">
        <f aca="false">'Comp - Hotel'!J16+'Comp - Centre'!J16+'Comp - Retail'!J16</f>
        <v>0</v>
      </c>
      <c r="K16" s="40" t="n">
        <f aca="false">'Comp - Hotel'!K16+'Comp - Centre'!K16+'Comp - Retail'!K16</f>
        <v>0</v>
      </c>
      <c r="L16" s="40" t="n">
        <f aca="false">'Comp - Hotel'!L16+'Comp - Centre'!L16+'Comp - Retail'!L16</f>
        <v>0</v>
      </c>
      <c r="M16" s="40" t="n">
        <f aca="false">'Comp - Hotel'!M16+'Comp - Centre'!M16+'Comp - Retail'!M16</f>
        <v>0</v>
      </c>
      <c r="N16" s="40" t="n">
        <f aca="false">'Comp - Hotel'!N16+'Comp - Centre'!N16+'Comp - Retail'!N16</f>
        <v>0</v>
      </c>
      <c r="O16" s="40" t="n">
        <f aca="false">'Comp - Hotel'!O16+'Comp - Centre'!O16+'Comp - Retail'!O16</f>
        <v>0</v>
      </c>
      <c r="P16" s="40" t="n">
        <f aca="false">'Comp - Hotel'!P16+'Comp - Centre'!P16+'Comp - Retail'!P16</f>
        <v>0</v>
      </c>
      <c r="Q16" s="40" t="n">
        <f aca="false">'Comp - Hotel'!Q16+'Comp - Centre'!Q16+'Comp - Retail'!Q16</f>
        <v>0</v>
      </c>
      <c r="R16" s="40" t="n">
        <f aca="false">'Comp - Hotel'!R16+'Comp - Centre'!R16+'Comp - Retail'!R16</f>
        <v>0</v>
      </c>
      <c r="S16" s="40" t="n">
        <f aca="false">'Comp - Hotel'!S16+'Comp - Centre'!S16+'Comp - Retail'!S16</f>
        <v>0</v>
      </c>
      <c r="T16" s="40" t="n">
        <f aca="false">'Comp - Hotel'!T16+'Comp - Centre'!T16+'Comp - Retail'!T16</f>
        <v>0</v>
      </c>
      <c r="U16" s="40" t="n">
        <f aca="false">'Comp - Hotel'!U16+'Comp - Centre'!U16+'Comp - Retail'!U16</f>
        <v>0</v>
      </c>
      <c r="V16" s="40" t="n">
        <f aca="false">'Comp - Hotel'!V16+'Comp - Centre'!V16+'Comp - Retail'!V16</f>
        <v>0</v>
      </c>
      <c r="W16" s="40" t="n">
        <f aca="false">'Comp - Hotel'!W16+'Comp - Centre'!W16+'Comp - Retail'!W16</f>
        <v>0</v>
      </c>
      <c r="X16" s="40" t="n">
        <f aca="false">'Comp - Hotel'!X16+'Comp - Centre'!X16+'Comp - Retail'!X16</f>
        <v>0</v>
      </c>
      <c r="Y16" s="40" t="n">
        <f aca="false">'Comp - Hotel'!Y16+'Comp - Centre'!Y16+'Comp - Retail'!Y16</f>
        <v>0</v>
      </c>
      <c r="Z16" s="40" t="n">
        <f aca="false">'Comp - Hotel'!Z16+'Comp - Centre'!Z16+'Comp - Retail'!Z16</f>
        <v>0</v>
      </c>
      <c r="AA16" s="40" t="n">
        <f aca="false">'Comp - Hotel'!AA16+'Comp - Centre'!AA16+'Comp - Retail'!AA16</f>
        <v>0</v>
      </c>
      <c r="AB16" s="40" t="n">
        <f aca="false">'Comp - Hotel'!AB16+'Comp - Centre'!AB16+'Comp - Retail'!AB16</f>
        <v>0</v>
      </c>
      <c r="AC16" s="40" t="n">
        <f aca="false">'Comp - Hotel'!AC16+'Comp - Centre'!AC16+'Comp - Retail'!AC16</f>
        <v>0</v>
      </c>
      <c r="AD16" s="40" t="n">
        <f aca="false">'Comp - Hotel'!AD16+'Comp - Centre'!AD16+'Comp - Retail'!AD16</f>
        <v>0</v>
      </c>
      <c r="AE16" s="40" t="n">
        <f aca="false">'Comp - Hotel'!AE16+'Comp - Centre'!AE16+'Comp - Retail'!AE16</f>
        <v>0</v>
      </c>
      <c r="AF16" s="40" t="n">
        <f aca="false">'Comp - Hotel'!AF16+'Comp - Centre'!AF16+'Comp - Retail'!AF16</f>
        <v>0</v>
      </c>
      <c r="AG16" s="40" t="n">
        <f aca="false">'Comp - Hotel'!AG16+'Comp - Centre'!AG16+'Comp - Retail'!AG16</f>
        <v>0</v>
      </c>
      <c r="AH16" s="40" t="n">
        <f aca="false">'Comp - Hotel'!AH16+'Comp - Centre'!AH16+'Comp - Retail'!AH16</f>
        <v>0</v>
      </c>
      <c r="AI16" s="40" t="n">
        <f aca="false">'Comp - Hotel'!AI16+'Comp - Centre'!AI16+'Comp - Retail'!AI16</f>
        <v>0</v>
      </c>
      <c r="AJ16" s="40" t="n">
        <f aca="false">'Comp - Hotel'!AJ16+'Comp - Centre'!AJ16+'Comp - Retail'!AJ16</f>
        <v>0</v>
      </c>
      <c r="AK16" s="40" t="n">
        <f aca="false">'Comp - Hotel'!AK16+'Comp - Centre'!AK16+'Comp - Retail'!AK16</f>
        <v>0</v>
      </c>
      <c r="AL16" s="40" t="n">
        <f aca="false">'Comp - Hotel'!AL16+'Comp - Centre'!AL16+'Comp - Retail'!AL16</f>
        <v>0</v>
      </c>
      <c r="AM16" s="40" t="n">
        <f aca="false">'Comp - Hotel'!AM16+'Comp - Centre'!AM16+'Comp - Retail'!AM16</f>
        <v>0</v>
      </c>
      <c r="AN16" s="40" t="n">
        <f aca="false">'Comp - Hotel'!AN16+'Comp - Centre'!AN16+'Comp - Retail'!AN16</f>
        <v>0</v>
      </c>
      <c r="AO16" s="40" t="n">
        <f aca="false">'Comp - Hotel'!AO16+'Comp - Centre'!AO16+'Comp - Retail'!AO16</f>
        <v>0</v>
      </c>
      <c r="AP16" s="40" t="n">
        <f aca="false">'Comp - Hotel'!AP16+'Comp - Centre'!AP16+'Comp - Retail'!AP16</f>
        <v>0</v>
      </c>
      <c r="AQ16" s="40" t="n">
        <f aca="false">'Comp - Hotel'!AQ16+'Comp - Centre'!AQ16+'Comp - Retail'!AQ16</f>
        <v>0</v>
      </c>
      <c r="AR16" s="40" t="n">
        <f aca="false">'Comp - Hotel'!AR16+'Comp - Centre'!AR16+'Comp - Retail'!AR16</f>
        <v>0</v>
      </c>
      <c r="AS16" s="40" t="n">
        <f aca="false">'Comp - Hotel'!AS16+'Comp - Centre'!AS16+'Comp - Retail'!AS16</f>
        <v>0</v>
      </c>
      <c r="AT16" s="40" t="n">
        <f aca="false">'Comp - Hotel'!AT16+'Comp - Centre'!AT16+'Comp - Retail'!AT16</f>
        <v>0</v>
      </c>
      <c r="AU16" s="40" t="n">
        <f aca="false">'Comp - Hotel'!AU16+'Comp - Centre'!AU16+'Comp - Retail'!AU16</f>
        <v>0</v>
      </c>
      <c r="AV16" s="40" t="n">
        <f aca="false">'Comp - Hotel'!AV16+'Comp - Centre'!AV16+'Comp - Retail'!AV16</f>
        <v>0</v>
      </c>
      <c r="AW16" s="40" t="n">
        <f aca="false">'Comp - Hotel'!AW16+'Comp - Centre'!AW16+'Comp - Retail'!AW16</f>
        <v>0</v>
      </c>
      <c r="AX16" s="40" t="n">
        <f aca="false">'Comp - Hotel'!AX16+'Comp - Centre'!AX16+'Comp - Retail'!AX16</f>
        <v>0</v>
      </c>
      <c r="AY16" s="40" t="n">
        <f aca="false">'Comp - Hotel'!AY16+'Comp - Centre'!AY16+'Comp - Retail'!AY16</f>
        <v>0</v>
      </c>
      <c r="AZ16" s="40" t="n">
        <f aca="false">'Comp - Hotel'!AZ16+'Comp - Centre'!AZ16+'Comp - Retail'!AZ16</f>
        <v>0</v>
      </c>
    </row>
    <row r="17" customFormat="false" ht="15" hidden="false" customHeight="true" outlineLevel="0" collapsed="false">
      <c r="A17" s="13" t="s">
        <v>78</v>
      </c>
      <c r="C17" s="41" t="n">
        <f aca="false">SUM(D17:AZ17)</f>
        <v>7</v>
      </c>
      <c r="D17" s="40" t="n">
        <f aca="false">'Comp - Hotel'!D17+'Comp - Centre'!D17+'Comp - Retail'!D17</f>
        <v>0</v>
      </c>
      <c r="E17" s="40" t="n">
        <f aca="false">'Comp - Hotel'!E17+'Comp - Centre'!E17+'Comp - Retail'!E17</f>
        <v>1.02531614671836</v>
      </c>
      <c r="F17" s="40" t="n">
        <f aca="false">'Comp - Hotel'!F17+'Comp - Centre'!F17+'Comp - Retail'!F17</f>
        <v>5.31751175868641</v>
      </c>
      <c r="G17" s="40" t="n">
        <f aca="false">'Comp - Hotel'!G17+'Comp - Centre'!G17+'Comp - Retail'!G17</f>
        <v>0.657172094595229</v>
      </c>
      <c r="H17" s="40" t="n">
        <f aca="false">'Comp - Hotel'!H17+'Comp - Centre'!H17+'Comp - Retail'!H17</f>
        <v>0</v>
      </c>
      <c r="I17" s="40" t="n">
        <f aca="false">'Comp - Hotel'!I17+'Comp - Centre'!I17+'Comp - Retail'!I17</f>
        <v>0</v>
      </c>
      <c r="J17" s="40" t="n">
        <f aca="false">'Comp - Hotel'!J17+'Comp - Centre'!J17+'Comp - Retail'!J17</f>
        <v>0</v>
      </c>
      <c r="K17" s="40" t="n">
        <f aca="false">'Comp - Hotel'!K17+'Comp - Centre'!K17+'Comp - Retail'!K17</f>
        <v>0</v>
      </c>
      <c r="L17" s="40" t="n">
        <f aca="false">'Comp - Hotel'!L17+'Comp - Centre'!L17+'Comp - Retail'!L17</f>
        <v>0</v>
      </c>
      <c r="M17" s="40" t="n">
        <f aca="false">'Comp - Hotel'!M17+'Comp - Centre'!M17+'Comp - Retail'!M17</f>
        <v>0</v>
      </c>
      <c r="N17" s="40" t="n">
        <f aca="false">'Comp - Hotel'!N17+'Comp - Centre'!N17+'Comp - Retail'!N17</f>
        <v>0</v>
      </c>
      <c r="O17" s="40" t="n">
        <f aca="false">'Comp - Hotel'!O17+'Comp - Centre'!O17+'Comp - Retail'!O17</f>
        <v>0</v>
      </c>
      <c r="P17" s="40" t="n">
        <f aca="false">'Comp - Hotel'!P17+'Comp - Centre'!P17+'Comp - Retail'!P17</f>
        <v>0</v>
      </c>
      <c r="Q17" s="40" t="n">
        <f aca="false">'Comp - Hotel'!Q17+'Comp - Centre'!Q17+'Comp - Retail'!Q17</f>
        <v>0</v>
      </c>
      <c r="R17" s="40" t="n">
        <f aca="false">'Comp - Hotel'!R17+'Comp - Centre'!R17+'Comp - Retail'!R17</f>
        <v>0</v>
      </c>
      <c r="S17" s="40" t="n">
        <f aca="false">'Comp - Hotel'!S17+'Comp - Centre'!S17+'Comp - Retail'!S17</f>
        <v>0</v>
      </c>
      <c r="T17" s="40" t="n">
        <f aca="false">'Comp - Hotel'!T17+'Comp - Centre'!T17+'Comp - Retail'!T17</f>
        <v>0</v>
      </c>
      <c r="U17" s="40" t="n">
        <f aca="false">'Comp - Hotel'!U17+'Comp - Centre'!U17+'Comp - Retail'!U17</f>
        <v>0</v>
      </c>
      <c r="V17" s="40" t="n">
        <f aca="false">'Comp - Hotel'!V17+'Comp - Centre'!V17+'Comp - Retail'!V17</f>
        <v>0</v>
      </c>
      <c r="W17" s="40" t="n">
        <f aca="false">'Comp - Hotel'!W17+'Comp - Centre'!W17+'Comp - Retail'!W17</f>
        <v>0</v>
      </c>
      <c r="X17" s="40" t="n">
        <f aca="false">'Comp - Hotel'!X17+'Comp - Centre'!X17+'Comp - Retail'!X17</f>
        <v>0</v>
      </c>
      <c r="Y17" s="40" t="n">
        <f aca="false">'Comp - Hotel'!Y17+'Comp - Centre'!Y17+'Comp - Retail'!Y17</f>
        <v>0</v>
      </c>
      <c r="Z17" s="40" t="n">
        <f aca="false">'Comp - Hotel'!Z17+'Comp - Centre'!Z17+'Comp - Retail'!Z17</f>
        <v>0</v>
      </c>
      <c r="AA17" s="40" t="n">
        <f aca="false">'Comp - Hotel'!AA17+'Comp - Centre'!AA17+'Comp - Retail'!AA17</f>
        <v>0</v>
      </c>
      <c r="AB17" s="40" t="n">
        <f aca="false">'Comp - Hotel'!AB17+'Comp - Centre'!AB17+'Comp - Retail'!AB17</f>
        <v>0</v>
      </c>
      <c r="AC17" s="40" t="n">
        <f aca="false">'Comp - Hotel'!AC17+'Comp - Centre'!AC17+'Comp - Retail'!AC17</f>
        <v>0</v>
      </c>
      <c r="AD17" s="40" t="n">
        <f aca="false">'Comp - Hotel'!AD17+'Comp - Centre'!AD17+'Comp - Retail'!AD17</f>
        <v>0</v>
      </c>
      <c r="AE17" s="40" t="n">
        <f aca="false">'Comp - Hotel'!AE17+'Comp - Centre'!AE17+'Comp - Retail'!AE17</f>
        <v>0</v>
      </c>
      <c r="AF17" s="40" t="n">
        <f aca="false">'Comp - Hotel'!AF17+'Comp - Centre'!AF17+'Comp - Retail'!AF17</f>
        <v>0</v>
      </c>
      <c r="AG17" s="40" t="n">
        <f aca="false">'Comp - Hotel'!AG17+'Comp - Centre'!AG17+'Comp - Retail'!AG17</f>
        <v>0</v>
      </c>
      <c r="AH17" s="40" t="n">
        <f aca="false">'Comp - Hotel'!AH17+'Comp - Centre'!AH17+'Comp - Retail'!AH17</f>
        <v>0</v>
      </c>
      <c r="AI17" s="40" t="n">
        <f aca="false">'Comp - Hotel'!AI17+'Comp - Centre'!AI17+'Comp - Retail'!AI17</f>
        <v>0</v>
      </c>
      <c r="AJ17" s="40" t="n">
        <f aca="false">'Comp - Hotel'!AJ17+'Comp - Centre'!AJ17+'Comp - Retail'!AJ17</f>
        <v>0</v>
      </c>
      <c r="AK17" s="40" t="n">
        <f aca="false">'Comp - Hotel'!AK17+'Comp - Centre'!AK17+'Comp - Retail'!AK17</f>
        <v>0</v>
      </c>
      <c r="AL17" s="40" t="n">
        <f aca="false">'Comp - Hotel'!AL17+'Comp - Centre'!AL17+'Comp - Retail'!AL17</f>
        <v>0</v>
      </c>
      <c r="AM17" s="40" t="n">
        <f aca="false">'Comp - Hotel'!AM17+'Comp - Centre'!AM17+'Comp - Retail'!AM17</f>
        <v>0</v>
      </c>
      <c r="AN17" s="40" t="n">
        <f aca="false">'Comp - Hotel'!AN17+'Comp - Centre'!AN17+'Comp - Retail'!AN17</f>
        <v>0</v>
      </c>
      <c r="AO17" s="40" t="n">
        <f aca="false">'Comp - Hotel'!AO17+'Comp - Centre'!AO17+'Comp - Retail'!AO17</f>
        <v>0</v>
      </c>
      <c r="AP17" s="40" t="n">
        <f aca="false">'Comp - Hotel'!AP17+'Comp - Centre'!AP17+'Comp - Retail'!AP17</f>
        <v>0</v>
      </c>
      <c r="AQ17" s="40" t="n">
        <f aca="false">'Comp - Hotel'!AQ17+'Comp - Centre'!AQ17+'Comp - Retail'!AQ17</f>
        <v>0</v>
      </c>
      <c r="AR17" s="40" t="n">
        <f aca="false">'Comp - Hotel'!AR17+'Comp - Centre'!AR17+'Comp - Retail'!AR17</f>
        <v>0</v>
      </c>
      <c r="AS17" s="40" t="n">
        <f aca="false">'Comp - Hotel'!AS17+'Comp - Centre'!AS17+'Comp - Retail'!AS17</f>
        <v>0</v>
      </c>
      <c r="AT17" s="40" t="n">
        <f aca="false">'Comp - Hotel'!AT17+'Comp - Centre'!AT17+'Comp - Retail'!AT17</f>
        <v>0</v>
      </c>
      <c r="AU17" s="40" t="n">
        <f aca="false">'Comp - Hotel'!AU17+'Comp - Centre'!AU17+'Comp - Retail'!AU17</f>
        <v>0</v>
      </c>
      <c r="AV17" s="40" t="n">
        <f aca="false">'Comp - Hotel'!AV17+'Comp - Centre'!AV17+'Comp - Retail'!AV17</f>
        <v>0</v>
      </c>
      <c r="AW17" s="40" t="n">
        <f aca="false">'Comp - Hotel'!AW17+'Comp - Centre'!AW17+'Comp - Retail'!AW17</f>
        <v>0</v>
      </c>
      <c r="AX17" s="40" t="n">
        <f aca="false">'Comp - Hotel'!AX17+'Comp - Centre'!AX17+'Comp - Retail'!AX17</f>
        <v>0</v>
      </c>
      <c r="AY17" s="40" t="n">
        <f aca="false">'Comp - Hotel'!AY17+'Comp - Centre'!AY17+'Comp - Retail'!AY17</f>
        <v>0</v>
      </c>
      <c r="AZ17" s="40" t="n">
        <f aca="false">'Comp - Hotel'!AZ17+'Comp - Centre'!AZ17+'Comp - Retail'!AZ17</f>
        <v>0</v>
      </c>
    </row>
    <row r="18" customFormat="false" ht="15" hidden="false" customHeight="true" outlineLevel="0" collapsed="false">
      <c r="A18" s="13" t="s">
        <v>79</v>
      </c>
      <c r="C18" s="41" t="n">
        <f aca="false">SUM(D18:AZ18)</f>
        <v>5</v>
      </c>
      <c r="D18" s="40" t="n">
        <f aca="false">'Comp - Hotel'!D18+'Comp - Centre'!D18+'Comp - Retail'!D18</f>
        <v>0.562025779922454</v>
      </c>
      <c r="E18" s="40" t="n">
        <f aca="false">'Comp - Hotel'!E18+'Comp - Centre'!E18+'Comp - Retail'!E18</f>
        <v>1.74936770656327</v>
      </c>
      <c r="F18" s="40" t="n">
        <f aca="false">'Comp - Hotel'!F18+'Comp - Centre'!F18+'Comp - Retail'!F18</f>
        <v>2.21919787451768</v>
      </c>
      <c r="G18" s="40" t="n">
        <f aca="false">'Comp - Hotel'!G18+'Comp - Centre'!G18+'Comp - Retail'!G18</f>
        <v>0.469408638996592</v>
      </c>
      <c r="H18" s="40" t="n">
        <f aca="false">'Comp - Hotel'!H18+'Comp - Centre'!H18+'Comp - Retail'!H18</f>
        <v>0</v>
      </c>
      <c r="I18" s="40" t="n">
        <f aca="false">'Comp - Hotel'!I18+'Comp - Centre'!I18+'Comp - Retail'!I18</f>
        <v>0</v>
      </c>
      <c r="J18" s="40" t="n">
        <f aca="false">'Comp - Hotel'!J18+'Comp - Centre'!J18+'Comp - Retail'!J18</f>
        <v>0</v>
      </c>
      <c r="K18" s="40" t="n">
        <f aca="false">'Comp - Hotel'!K18+'Comp - Centre'!K18+'Comp - Retail'!K18</f>
        <v>0</v>
      </c>
      <c r="L18" s="40" t="n">
        <f aca="false">'Comp - Hotel'!L18+'Comp - Centre'!L18+'Comp - Retail'!L18</f>
        <v>0</v>
      </c>
      <c r="M18" s="40" t="n">
        <f aca="false">'Comp - Hotel'!M18+'Comp - Centre'!M18+'Comp - Retail'!M18</f>
        <v>0</v>
      </c>
      <c r="N18" s="40" t="n">
        <f aca="false">'Comp - Hotel'!N18+'Comp - Centre'!N18+'Comp - Retail'!N18</f>
        <v>0</v>
      </c>
      <c r="O18" s="40" t="n">
        <f aca="false">'Comp - Hotel'!O18+'Comp - Centre'!O18+'Comp - Retail'!O18</f>
        <v>0</v>
      </c>
      <c r="P18" s="40" t="n">
        <f aca="false">'Comp - Hotel'!P18+'Comp - Centre'!P18+'Comp - Retail'!P18</f>
        <v>0</v>
      </c>
      <c r="Q18" s="40" t="n">
        <f aca="false">'Comp - Hotel'!Q18+'Comp - Centre'!Q18+'Comp - Retail'!Q18</f>
        <v>0</v>
      </c>
      <c r="R18" s="40" t="n">
        <f aca="false">'Comp - Hotel'!R18+'Comp - Centre'!R18+'Comp - Retail'!R18</f>
        <v>0</v>
      </c>
      <c r="S18" s="40" t="n">
        <f aca="false">'Comp - Hotel'!S18+'Comp - Centre'!S18+'Comp - Retail'!S18</f>
        <v>0</v>
      </c>
      <c r="T18" s="40" t="n">
        <f aca="false">'Comp - Hotel'!T18+'Comp - Centre'!T18+'Comp - Retail'!T18</f>
        <v>0</v>
      </c>
      <c r="U18" s="40" t="n">
        <f aca="false">'Comp - Hotel'!U18+'Comp - Centre'!U18+'Comp - Retail'!U18</f>
        <v>0</v>
      </c>
      <c r="V18" s="40" t="n">
        <f aca="false">'Comp - Hotel'!V18+'Comp - Centre'!V18+'Comp - Retail'!V18</f>
        <v>0</v>
      </c>
      <c r="W18" s="40" t="n">
        <f aca="false">'Comp - Hotel'!W18+'Comp - Centre'!W18+'Comp - Retail'!W18</f>
        <v>0</v>
      </c>
      <c r="X18" s="40" t="n">
        <f aca="false">'Comp - Hotel'!X18+'Comp - Centre'!X18+'Comp - Retail'!X18</f>
        <v>0</v>
      </c>
      <c r="Y18" s="40" t="n">
        <f aca="false">'Comp - Hotel'!Y18+'Comp - Centre'!Y18+'Comp - Retail'!Y18</f>
        <v>0</v>
      </c>
      <c r="Z18" s="40" t="n">
        <f aca="false">'Comp - Hotel'!Z18+'Comp - Centre'!Z18+'Comp - Retail'!Z18</f>
        <v>0</v>
      </c>
      <c r="AA18" s="40" t="n">
        <f aca="false">'Comp - Hotel'!AA18+'Comp - Centre'!AA18+'Comp - Retail'!AA18</f>
        <v>0</v>
      </c>
      <c r="AB18" s="40" t="n">
        <f aca="false">'Comp - Hotel'!AB18+'Comp - Centre'!AB18+'Comp - Retail'!AB18</f>
        <v>0</v>
      </c>
      <c r="AC18" s="40" t="n">
        <f aca="false">'Comp - Hotel'!AC18+'Comp - Centre'!AC18+'Comp - Retail'!AC18</f>
        <v>0</v>
      </c>
      <c r="AD18" s="40" t="n">
        <f aca="false">'Comp - Hotel'!AD18+'Comp - Centre'!AD18+'Comp - Retail'!AD18</f>
        <v>0</v>
      </c>
      <c r="AE18" s="40" t="n">
        <f aca="false">'Comp - Hotel'!AE18+'Comp - Centre'!AE18+'Comp - Retail'!AE18</f>
        <v>0</v>
      </c>
      <c r="AF18" s="40" t="n">
        <f aca="false">'Comp - Hotel'!AF18+'Comp - Centre'!AF18+'Comp - Retail'!AF18</f>
        <v>0</v>
      </c>
      <c r="AG18" s="40" t="n">
        <f aca="false">'Comp - Hotel'!AG18+'Comp - Centre'!AG18+'Comp - Retail'!AG18</f>
        <v>0</v>
      </c>
      <c r="AH18" s="40" t="n">
        <f aca="false">'Comp - Hotel'!AH18+'Comp - Centre'!AH18+'Comp - Retail'!AH18</f>
        <v>0</v>
      </c>
      <c r="AI18" s="40" t="n">
        <f aca="false">'Comp - Hotel'!AI18+'Comp - Centre'!AI18+'Comp - Retail'!AI18</f>
        <v>0</v>
      </c>
      <c r="AJ18" s="40" t="n">
        <f aca="false">'Comp - Hotel'!AJ18+'Comp - Centre'!AJ18+'Comp - Retail'!AJ18</f>
        <v>0</v>
      </c>
      <c r="AK18" s="40" t="n">
        <f aca="false">'Comp - Hotel'!AK18+'Comp - Centre'!AK18+'Comp - Retail'!AK18</f>
        <v>0</v>
      </c>
      <c r="AL18" s="40" t="n">
        <f aca="false">'Comp - Hotel'!AL18+'Comp - Centre'!AL18+'Comp - Retail'!AL18</f>
        <v>0</v>
      </c>
      <c r="AM18" s="40" t="n">
        <f aca="false">'Comp - Hotel'!AM18+'Comp - Centre'!AM18+'Comp - Retail'!AM18</f>
        <v>0</v>
      </c>
      <c r="AN18" s="40" t="n">
        <f aca="false">'Comp - Hotel'!AN18+'Comp - Centre'!AN18+'Comp - Retail'!AN18</f>
        <v>0</v>
      </c>
      <c r="AO18" s="40" t="n">
        <f aca="false">'Comp - Hotel'!AO18+'Comp - Centre'!AO18+'Comp - Retail'!AO18</f>
        <v>0</v>
      </c>
      <c r="AP18" s="40" t="n">
        <f aca="false">'Comp - Hotel'!AP18+'Comp - Centre'!AP18+'Comp - Retail'!AP18</f>
        <v>0</v>
      </c>
      <c r="AQ18" s="40" t="n">
        <f aca="false">'Comp - Hotel'!AQ18+'Comp - Centre'!AQ18+'Comp - Retail'!AQ18</f>
        <v>0</v>
      </c>
      <c r="AR18" s="40" t="n">
        <f aca="false">'Comp - Hotel'!AR18+'Comp - Centre'!AR18+'Comp - Retail'!AR18</f>
        <v>0</v>
      </c>
      <c r="AS18" s="40" t="n">
        <f aca="false">'Comp - Hotel'!AS18+'Comp - Centre'!AS18+'Comp - Retail'!AS18</f>
        <v>0</v>
      </c>
      <c r="AT18" s="40" t="n">
        <f aca="false">'Comp - Hotel'!AT18+'Comp - Centre'!AT18+'Comp - Retail'!AT18</f>
        <v>0</v>
      </c>
      <c r="AU18" s="40" t="n">
        <f aca="false">'Comp - Hotel'!AU18+'Comp - Centre'!AU18+'Comp - Retail'!AU18</f>
        <v>0</v>
      </c>
      <c r="AV18" s="40" t="n">
        <f aca="false">'Comp - Hotel'!AV18+'Comp - Centre'!AV18+'Comp - Retail'!AV18</f>
        <v>0</v>
      </c>
      <c r="AW18" s="40" t="n">
        <f aca="false">'Comp - Hotel'!AW18+'Comp - Centre'!AW18+'Comp - Retail'!AW18</f>
        <v>0</v>
      </c>
      <c r="AX18" s="40" t="n">
        <f aca="false">'Comp - Hotel'!AX18+'Comp - Centre'!AX18+'Comp - Retail'!AX18</f>
        <v>0</v>
      </c>
      <c r="AY18" s="40" t="n">
        <f aca="false">'Comp - Hotel'!AY18+'Comp - Centre'!AY18+'Comp - Retail'!AY18</f>
        <v>0</v>
      </c>
      <c r="AZ18" s="40" t="n">
        <f aca="false">'Comp - Hotel'!AZ18+'Comp - Centre'!AZ18+'Comp - Retail'!AZ18</f>
        <v>0</v>
      </c>
    </row>
    <row r="19" customFormat="false" ht="15" hidden="false" customHeight="true" outlineLevel="0" collapsed="false">
      <c r="A19" s="6" t="s">
        <v>386</v>
      </c>
      <c r="C19" s="44" t="n">
        <f aca="false">SUM(D19:AZ19)</f>
        <v>457.07</v>
      </c>
      <c r="D19" s="44" t="n">
        <f aca="false">SUM(D6:D13)</f>
        <v>17.1680634903349</v>
      </c>
      <c r="E19" s="44" t="n">
        <f aca="false">SUM(E6:E13)</f>
        <v>190.512618650131</v>
      </c>
      <c r="F19" s="44" t="n">
        <f aca="false">SUM(F6:F13)</f>
        <v>203.077238567027</v>
      </c>
      <c r="G19" s="44" t="n">
        <f aca="false">SUM(G6:G13)</f>
        <v>46.3120792925073</v>
      </c>
      <c r="H19" s="44" t="n">
        <f aca="false">SUM(H6:H13)</f>
        <v>0</v>
      </c>
      <c r="I19" s="44" t="n">
        <f aca="false">SUM(I6:I13)</f>
        <v>0</v>
      </c>
      <c r="J19" s="44" t="n">
        <f aca="false">SUM(J6:J13)</f>
        <v>0</v>
      </c>
      <c r="K19" s="44" t="n">
        <f aca="false">SUM(K6:K13)</f>
        <v>0</v>
      </c>
      <c r="L19" s="44" t="n">
        <f aca="false">SUM(L6:L13)</f>
        <v>0</v>
      </c>
      <c r="M19" s="44" t="n">
        <f aca="false">SUM(M6:M13)</f>
        <v>0</v>
      </c>
      <c r="N19" s="44" t="n">
        <f aca="false">SUM(N6:N13)</f>
        <v>0</v>
      </c>
      <c r="O19" s="44" t="n">
        <f aca="false">SUM(O6:O13)</f>
        <v>0</v>
      </c>
      <c r="P19" s="44" t="n">
        <f aca="false">SUM(P6:P13)</f>
        <v>0</v>
      </c>
      <c r="Q19" s="44" t="n">
        <f aca="false">SUM(Q6:Q13)</f>
        <v>0</v>
      </c>
      <c r="R19" s="44" t="n">
        <f aca="false">SUM(R6:R13)</f>
        <v>0</v>
      </c>
      <c r="S19" s="44" t="n">
        <f aca="false">SUM(S6:S13)</f>
        <v>0</v>
      </c>
      <c r="T19" s="44" t="n">
        <f aca="false">SUM(T6:T13)</f>
        <v>0</v>
      </c>
      <c r="U19" s="44" t="n">
        <f aca="false">SUM(U6:U13)</f>
        <v>0</v>
      </c>
      <c r="V19" s="44" t="n">
        <f aca="false">SUM(V6:V13)</f>
        <v>0</v>
      </c>
      <c r="W19" s="44" t="n">
        <f aca="false">SUM(W6:W13)</f>
        <v>0</v>
      </c>
      <c r="X19" s="44" t="n">
        <f aca="false">SUM(X6:X13)</f>
        <v>0</v>
      </c>
      <c r="Y19" s="44" t="n">
        <f aca="false">SUM(Y6:Y13)</f>
        <v>0</v>
      </c>
      <c r="Z19" s="44" t="n">
        <f aca="false">SUM(Z6:Z13)</f>
        <v>0</v>
      </c>
      <c r="AA19" s="44" t="n">
        <f aca="false">SUM(AA6:AA13)</f>
        <v>0</v>
      </c>
      <c r="AB19" s="44" t="n">
        <f aca="false">SUM(AB6:AB13)</f>
        <v>0</v>
      </c>
      <c r="AC19" s="44" t="n">
        <f aca="false">SUM(AC6:AC13)</f>
        <v>0</v>
      </c>
      <c r="AD19" s="44" t="n">
        <f aca="false">SUM(AD6:AD13)</f>
        <v>0</v>
      </c>
      <c r="AE19" s="44" t="n">
        <f aca="false">SUM(AE6:AE13)</f>
        <v>0</v>
      </c>
      <c r="AF19" s="44" t="n">
        <f aca="false">SUM(AF6:AF13)</f>
        <v>0</v>
      </c>
      <c r="AG19" s="44" t="n">
        <f aca="false">SUM(AG6:AG13)</f>
        <v>0</v>
      </c>
      <c r="AH19" s="44" t="n">
        <f aca="false">SUM(AH6:AH13)</f>
        <v>0</v>
      </c>
      <c r="AI19" s="44" t="n">
        <f aca="false">SUM(AI6:AI13)</f>
        <v>0</v>
      </c>
      <c r="AJ19" s="44" t="n">
        <f aca="false">SUM(AJ6:AJ13)</f>
        <v>0</v>
      </c>
      <c r="AK19" s="44" t="n">
        <f aca="false">SUM(AK6:AK13)</f>
        <v>0</v>
      </c>
      <c r="AL19" s="44" t="n">
        <f aca="false">SUM(AL6:AL13)</f>
        <v>0</v>
      </c>
      <c r="AM19" s="44" t="n">
        <f aca="false">SUM(AM6:AM13)</f>
        <v>0</v>
      </c>
      <c r="AN19" s="44" t="n">
        <f aca="false">SUM(AN6:AN13)</f>
        <v>0</v>
      </c>
      <c r="AO19" s="44" t="n">
        <f aca="false">SUM(AO6:AO13)</f>
        <v>0</v>
      </c>
      <c r="AP19" s="44" t="n">
        <f aca="false">SUM(AP6:AP13)</f>
        <v>0</v>
      </c>
      <c r="AQ19" s="44" t="n">
        <f aca="false">SUM(AQ6:AQ13)</f>
        <v>0</v>
      </c>
      <c r="AR19" s="44" t="n">
        <f aca="false">SUM(AR6:AR13)</f>
        <v>0</v>
      </c>
      <c r="AS19" s="44" t="n">
        <f aca="false">SUM(AS6:AS13)</f>
        <v>0</v>
      </c>
      <c r="AT19" s="44" t="n">
        <f aca="false">SUM(AT6:AT13)</f>
        <v>0</v>
      </c>
      <c r="AU19" s="44" t="n">
        <f aca="false">SUM(AU6:AU13)</f>
        <v>0</v>
      </c>
      <c r="AV19" s="44" t="n">
        <f aca="false">SUM(AV6:AV13)</f>
        <v>0</v>
      </c>
      <c r="AW19" s="44" t="n">
        <f aca="false">SUM(AW6:AW13)</f>
        <v>0</v>
      </c>
      <c r="AX19" s="44" t="n">
        <f aca="false">SUM(AX6:AX13)</f>
        <v>0</v>
      </c>
      <c r="AY19" s="44" t="n">
        <f aca="false">SUM(AY6:AY13)</f>
        <v>0</v>
      </c>
      <c r="AZ19" s="44" t="n">
        <f aca="false">SUM(AZ6:AZ13)</f>
        <v>0</v>
      </c>
    </row>
    <row r="20" customFormat="false" ht="15" hidden="false" customHeight="true" outlineLevel="0" collapsed="false">
      <c r="A20" s="6" t="s">
        <v>330</v>
      </c>
      <c r="C20" s="21" t="n">
        <f aca="false">SUM(D20:AZ20)</f>
        <v>40</v>
      </c>
      <c r="D20" s="21" t="n">
        <f aca="false">SUM(D14:D18)</f>
        <v>11.6151994517307</v>
      </c>
      <c r="E20" s="21" t="n">
        <f aca="false">SUM(E14:E18)</f>
        <v>9.87341926640818</v>
      </c>
      <c r="F20" s="21" t="n">
        <f aca="false">SUM(F14:F18)</f>
        <v>14.7561121698884</v>
      </c>
      <c r="G20" s="21" t="n">
        <f aca="false">SUM(G14:G18)</f>
        <v>3.75526911197274</v>
      </c>
      <c r="H20" s="21" t="n">
        <f aca="false">SUM(H14:H18)</f>
        <v>0</v>
      </c>
      <c r="I20" s="21" t="n">
        <f aca="false">SUM(I14:I18)</f>
        <v>0</v>
      </c>
      <c r="J20" s="21" t="n">
        <f aca="false">SUM(J14:J18)</f>
        <v>0</v>
      </c>
      <c r="K20" s="21" t="n">
        <f aca="false">SUM(K14:K18)</f>
        <v>0</v>
      </c>
      <c r="L20" s="21" t="n">
        <f aca="false">SUM(L14:L18)</f>
        <v>0</v>
      </c>
      <c r="M20" s="21" t="n">
        <f aca="false">SUM(M14:M18)</f>
        <v>0</v>
      </c>
      <c r="N20" s="21" t="n">
        <f aca="false">SUM(N14:N18)</f>
        <v>0</v>
      </c>
      <c r="O20" s="21" t="n">
        <f aca="false">SUM(O14:O18)</f>
        <v>0</v>
      </c>
      <c r="P20" s="21" t="n">
        <f aca="false">SUM(P14:P18)</f>
        <v>0</v>
      </c>
      <c r="Q20" s="21" t="n">
        <f aca="false">SUM(Q14:Q18)</f>
        <v>0</v>
      </c>
      <c r="R20" s="21" t="n">
        <f aca="false">SUM(R14:R18)</f>
        <v>0</v>
      </c>
      <c r="S20" s="21" t="n">
        <f aca="false">SUM(S14:S18)</f>
        <v>0</v>
      </c>
      <c r="T20" s="21" t="n">
        <f aca="false">SUM(T14:T18)</f>
        <v>0</v>
      </c>
      <c r="U20" s="21" t="n">
        <f aca="false">SUM(U14:U18)</f>
        <v>0</v>
      </c>
      <c r="V20" s="21" t="n">
        <f aca="false">SUM(V14:V18)</f>
        <v>0</v>
      </c>
      <c r="W20" s="21" t="n">
        <f aca="false">SUM(W14:W18)</f>
        <v>0</v>
      </c>
      <c r="X20" s="21" t="n">
        <f aca="false">SUM(X14:X18)</f>
        <v>0</v>
      </c>
      <c r="Y20" s="21" t="n">
        <f aca="false">SUM(Y14:Y18)</f>
        <v>0</v>
      </c>
      <c r="Z20" s="21" t="n">
        <f aca="false">SUM(Z14:Z18)</f>
        <v>0</v>
      </c>
      <c r="AA20" s="21" t="n">
        <f aca="false">SUM(AA14:AA18)</f>
        <v>0</v>
      </c>
      <c r="AB20" s="21" t="n">
        <f aca="false">SUM(AB14:AB18)</f>
        <v>0</v>
      </c>
      <c r="AC20" s="21" t="n">
        <f aca="false">SUM(AC14:AC18)</f>
        <v>0</v>
      </c>
      <c r="AD20" s="21" t="n">
        <f aca="false">SUM(AD14:AD18)</f>
        <v>0</v>
      </c>
      <c r="AE20" s="21" t="n">
        <f aca="false">SUM(AE14:AE18)</f>
        <v>0</v>
      </c>
      <c r="AF20" s="21" t="n">
        <f aca="false">SUM(AF14:AF18)</f>
        <v>0</v>
      </c>
      <c r="AG20" s="21" t="n">
        <f aca="false">SUM(AG14:AG18)</f>
        <v>0</v>
      </c>
      <c r="AH20" s="21" t="n">
        <f aca="false">SUM(AH14:AH18)</f>
        <v>0</v>
      </c>
      <c r="AI20" s="21" t="n">
        <f aca="false">SUM(AI14:AI18)</f>
        <v>0</v>
      </c>
      <c r="AJ20" s="21" t="n">
        <f aca="false">SUM(AJ14:AJ18)</f>
        <v>0</v>
      </c>
      <c r="AK20" s="21" t="n">
        <f aca="false">SUM(AK14:AK18)</f>
        <v>0</v>
      </c>
      <c r="AL20" s="21" t="n">
        <f aca="false">SUM(AL14:AL18)</f>
        <v>0</v>
      </c>
      <c r="AM20" s="21" t="n">
        <f aca="false">SUM(AM14:AM18)</f>
        <v>0</v>
      </c>
      <c r="AN20" s="21" t="n">
        <f aca="false">SUM(AN14:AN18)</f>
        <v>0</v>
      </c>
      <c r="AO20" s="21" t="n">
        <f aca="false">SUM(AO14:AO18)</f>
        <v>0</v>
      </c>
      <c r="AP20" s="21" t="n">
        <f aca="false">SUM(AP14:AP18)</f>
        <v>0</v>
      </c>
      <c r="AQ20" s="21" t="n">
        <f aca="false">SUM(AQ14:AQ18)</f>
        <v>0</v>
      </c>
      <c r="AR20" s="21" t="n">
        <f aca="false">SUM(AR14:AR18)</f>
        <v>0</v>
      </c>
      <c r="AS20" s="21" t="n">
        <f aca="false">SUM(AS14:AS18)</f>
        <v>0</v>
      </c>
      <c r="AT20" s="21" t="n">
        <f aca="false">SUM(AT14:AT18)</f>
        <v>0</v>
      </c>
      <c r="AU20" s="21" t="n">
        <f aca="false">SUM(AU14:AU18)</f>
        <v>0</v>
      </c>
      <c r="AV20" s="21" t="n">
        <f aca="false">SUM(AV14:AV18)</f>
        <v>0</v>
      </c>
      <c r="AW20" s="21" t="n">
        <f aca="false">SUM(AW14:AW18)</f>
        <v>0</v>
      </c>
      <c r="AX20" s="21" t="n">
        <f aca="false">SUM(AX14:AX18)</f>
        <v>0</v>
      </c>
      <c r="AY20" s="21" t="n">
        <f aca="false">SUM(AY14:AY18)</f>
        <v>0</v>
      </c>
      <c r="AZ20" s="21" t="n">
        <f aca="false">SUM(AZ14:AZ18)</f>
        <v>0</v>
      </c>
    </row>
    <row r="21" customFormat="false" ht="15" hidden="false" customHeight="true" outlineLevel="0" collapsed="false">
      <c r="A21" s="6" t="s">
        <v>387</v>
      </c>
      <c r="C21" s="21" t="n">
        <f aca="false">SUM(D21:AZ21)</f>
        <v>497.07</v>
      </c>
      <c r="D21" s="21" t="n">
        <f aca="false">D19+D20</f>
        <v>28.7832629420656</v>
      </c>
      <c r="E21" s="21" t="n">
        <f aca="false">E19+E20</f>
        <v>200.386037916539</v>
      </c>
      <c r="F21" s="21" t="n">
        <f aca="false">F19+F20</f>
        <v>217.833350736915</v>
      </c>
      <c r="G21" s="21" t="n">
        <f aca="false">G19+G20</f>
        <v>50.06734840448</v>
      </c>
      <c r="H21" s="21" t="n">
        <f aca="false">H19+H20</f>
        <v>0</v>
      </c>
      <c r="I21" s="21" t="n">
        <f aca="false">I19+I20</f>
        <v>0</v>
      </c>
      <c r="J21" s="21" t="n">
        <f aca="false">J19+J20</f>
        <v>0</v>
      </c>
      <c r="K21" s="21" t="n">
        <f aca="false">K19+K20</f>
        <v>0</v>
      </c>
      <c r="L21" s="21" t="n">
        <f aca="false">L19+L20</f>
        <v>0</v>
      </c>
      <c r="M21" s="21" t="n">
        <f aca="false">M19+M20</f>
        <v>0</v>
      </c>
      <c r="N21" s="21" t="n">
        <f aca="false">N19+N20</f>
        <v>0</v>
      </c>
      <c r="O21" s="21" t="n">
        <f aca="false">O19+O20</f>
        <v>0</v>
      </c>
      <c r="P21" s="21" t="n">
        <f aca="false">P19+P20</f>
        <v>0</v>
      </c>
      <c r="Q21" s="21" t="n">
        <f aca="false">Q19+Q20</f>
        <v>0</v>
      </c>
      <c r="R21" s="21" t="n">
        <f aca="false">R19+R20</f>
        <v>0</v>
      </c>
      <c r="S21" s="21" t="n">
        <f aca="false">S19+S20</f>
        <v>0</v>
      </c>
      <c r="T21" s="21" t="n">
        <f aca="false">T19+T20</f>
        <v>0</v>
      </c>
      <c r="U21" s="21" t="n">
        <f aca="false">U19+U20</f>
        <v>0</v>
      </c>
      <c r="V21" s="21" t="n">
        <f aca="false">V19+V20</f>
        <v>0</v>
      </c>
      <c r="W21" s="21" t="n">
        <f aca="false">W19+W20</f>
        <v>0</v>
      </c>
      <c r="X21" s="21" t="n">
        <f aca="false">X19+X20</f>
        <v>0</v>
      </c>
      <c r="Y21" s="21" t="n">
        <f aca="false">Y19+Y20</f>
        <v>0</v>
      </c>
      <c r="Z21" s="21" t="n">
        <f aca="false">Z19+Z20</f>
        <v>0</v>
      </c>
      <c r="AA21" s="21" t="n">
        <f aca="false">AA19+AA20</f>
        <v>0</v>
      </c>
      <c r="AB21" s="21" t="n">
        <f aca="false">AB19+AB20</f>
        <v>0</v>
      </c>
      <c r="AC21" s="21" t="n">
        <f aca="false">AC19+AC20</f>
        <v>0</v>
      </c>
      <c r="AD21" s="21" t="n">
        <f aca="false">AD19+AD20</f>
        <v>0</v>
      </c>
      <c r="AE21" s="21" t="n">
        <f aca="false">AE19+AE20</f>
        <v>0</v>
      </c>
      <c r="AF21" s="21" t="n">
        <f aca="false">AF19+AF20</f>
        <v>0</v>
      </c>
      <c r="AG21" s="21" t="n">
        <f aca="false">AG19+AG20</f>
        <v>0</v>
      </c>
      <c r="AH21" s="21" t="n">
        <f aca="false">AH19+AH20</f>
        <v>0</v>
      </c>
      <c r="AI21" s="21" t="n">
        <f aca="false">AI19+AI20</f>
        <v>0</v>
      </c>
      <c r="AJ21" s="21" t="n">
        <f aca="false">AJ19+AJ20</f>
        <v>0</v>
      </c>
      <c r="AK21" s="21" t="n">
        <f aca="false">AK19+AK20</f>
        <v>0</v>
      </c>
      <c r="AL21" s="21" t="n">
        <f aca="false">AL19+AL20</f>
        <v>0</v>
      </c>
      <c r="AM21" s="21" t="n">
        <f aca="false">AM19+AM20</f>
        <v>0</v>
      </c>
      <c r="AN21" s="21" t="n">
        <f aca="false">AN19+AN20</f>
        <v>0</v>
      </c>
      <c r="AO21" s="21" t="n">
        <f aca="false">AO19+AO20</f>
        <v>0</v>
      </c>
      <c r="AP21" s="21" t="n">
        <f aca="false">AP19+AP20</f>
        <v>0</v>
      </c>
      <c r="AQ21" s="21" t="n">
        <f aca="false">AQ19+AQ20</f>
        <v>0</v>
      </c>
      <c r="AR21" s="21" t="n">
        <f aca="false">AR19+AR20</f>
        <v>0</v>
      </c>
      <c r="AS21" s="21" t="n">
        <f aca="false">AS19+AS20</f>
        <v>0</v>
      </c>
      <c r="AT21" s="21" t="n">
        <f aca="false">AT19+AT20</f>
        <v>0</v>
      </c>
      <c r="AU21" s="21" t="n">
        <f aca="false">AU19+AU20</f>
        <v>0</v>
      </c>
      <c r="AV21" s="21" t="n">
        <f aca="false">AV19+AV20</f>
        <v>0</v>
      </c>
      <c r="AW21" s="21" t="n">
        <f aca="false">AW19+AW20</f>
        <v>0</v>
      </c>
      <c r="AX21" s="21" t="n">
        <f aca="false">AX19+AX20</f>
        <v>0</v>
      </c>
      <c r="AY21" s="21" t="n">
        <f aca="false">AY19+AY20</f>
        <v>0</v>
      </c>
      <c r="AZ21" s="21" t="n">
        <f aca="false">AZ19+AZ20</f>
        <v>0</v>
      </c>
    </row>
    <row r="23" customFormat="false" ht="15" hidden="false" customHeight="true" outlineLevel="0" collapsed="false">
      <c r="A23" s="11" t="s">
        <v>388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</row>
    <row r="24" customFormat="false" ht="15" hidden="false" customHeight="true" outlineLevel="0" collapsed="false">
      <c r="A24" s="13" t="s">
        <v>389</v>
      </c>
      <c r="C24" s="41" t="n">
        <f aca="false">SUM(D24:AZ24)</f>
        <v>18.2</v>
      </c>
      <c r="D24" s="40" t="n">
        <f aca="false">'Comp - Centre'!D21</f>
        <v>0</v>
      </c>
      <c r="E24" s="40" t="n">
        <f aca="false">'Comp - Centre'!E21</f>
        <v>2.4752</v>
      </c>
      <c r="F24" s="40" t="n">
        <f aca="false">'Comp - Centre'!F21</f>
        <v>15.7248</v>
      </c>
      <c r="G24" s="40" t="n">
        <f aca="false">'Comp - Centre'!G21</f>
        <v>0</v>
      </c>
      <c r="H24" s="40" t="n">
        <f aca="false">'Comp - Centre'!H21</f>
        <v>0</v>
      </c>
      <c r="I24" s="40" t="n">
        <f aca="false">'Comp - Centre'!I21</f>
        <v>0</v>
      </c>
      <c r="J24" s="40" t="n">
        <f aca="false">'Comp - Centre'!J21</f>
        <v>0</v>
      </c>
      <c r="K24" s="40" t="n">
        <f aca="false">'Comp - Centre'!K21</f>
        <v>0</v>
      </c>
      <c r="L24" s="40" t="n">
        <f aca="false">'Comp - Centre'!L21</f>
        <v>0</v>
      </c>
      <c r="M24" s="40" t="n">
        <f aca="false">'Comp - Centre'!M21</f>
        <v>0</v>
      </c>
      <c r="N24" s="40" t="n">
        <f aca="false">'Comp - Centre'!N21</f>
        <v>0</v>
      </c>
      <c r="O24" s="40" t="n">
        <f aca="false">'Comp - Centre'!O21</f>
        <v>0</v>
      </c>
      <c r="P24" s="40" t="n">
        <f aca="false">'Comp - Centre'!P21</f>
        <v>0</v>
      </c>
      <c r="Q24" s="40" t="n">
        <f aca="false">'Comp - Centre'!Q21</f>
        <v>0</v>
      </c>
      <c r="R24" s="40" t="n">
        <f aca="false">'Comp - Centre'!R21</f>
        <v>0</v>
      </c>
      <c r="S24" s="40" t="n">
        <f aca="false">'Comp - Centre'!S21</f>
        <v>0</v>
      </c>
      <c r="T24" s="40" t="n">
        <f aca="false">'Comp - Centre'!T21</f>
        <v>0</v>
      </c>
      <c r="U24" s="40" t="n">
        <f aca="false">'Comp - Centre'!U21</f>
        <v>0</v>
      </c>
      <c r="V24" s="40" t="n">
        <f aca="false">'Comp - Centre'!V21</f>
        <v>0</v>
      </c>
      <c r="W24" s="40" t="n">
        <f aca="false">'Comp - Centre'!W21</f>
        <v>0</v>
      </c>
      <c r="X24" s="40" t="n">
        <f aca="false">'Comp - Centre'!X21</f>
        <v>0</v>
      </c>
      <c r="Y24" s="40" t="n">
        <f aca="false">'Comp - Centre'!Y21</f>
        <v>0</v>
      </c>
      <c r="Z24" s="40" t="n">
        <f aca="false">'Comp - Centre'!Z21</f>
        <v>0</v>
      </c>
      <c r="AA24" s="40" t="n">
        <f aca="false">'Comp - Centre'!AA21</f>
        <v>0</v>
      </c>
      <c r="AB24" s="40" t="n">
        <f aca="false">'Comp - Centre'!AB21</f>
        <v>0</v>
      </c>
      <c r="AC24" s="40" t="n">
        <f aca="false">'Comp - Centre'!AC21</f>
        <v>0</v>
      </c>
      <c r="AD24" s="40" t="n">
        <f aca="false">'Comp - Centre'!AD21</f>
        <v>0</v>
      </c>
      <c r="AE24" s="40" t="n">
        <f aca="false">'Comp - Centre'!AE21</f>
        <v>0</v>
      </c>
      <c r="AF24" s="40" t="n">
        <f aca="false">'Comp - Centre'!AF21</f>
        <v>0</v>
      </c>
      <c r="AG24" s="40" t="n">
        <f aca="false">'Comp - Centre'!AG21</f>
        <v>0</v>
      </c>
      <c r="AH24" s="40" t="n">
        <f aca="false">'Comp - Centre'!AH21</f>
        <v>0</v>
      </c>
      <c r="AI24" s="40" t="n">
        <f aca="false">'Comp - Centre'!AI21</f>
        <v>0</v>
      </c>
      <c r="AJ24" s="40" t="n">
        <f aca="false">'Comp - Centre'!AJ21</f>
        <v>0</v>
      </c>
      <c r="AK24" s="40" t="n">
        <f aca="false">'Comp - Centre'!AK21</f>
        <v>0</v>
      </c>
      <c r="AL24" s="40" t="n">
        <f aca="false">'Comp - Centre'!AL21</f>
        <v>0</v>
      </c>
      <c r="AM24" s="40" t="n">
        <f aca="false">'Comp - Centre'!AM21</f>
        <v>0</v>
      </c>
      <c r="AN24" s="40" t="n">
        <f aca="false">'Comp - Centre'!AN21</f>
        <v>0</v>
      </c>
      <c r="AO24" s="40" t="n">
        <f aca="false">'Comp - Centre'!AO21</f>
        <v>0</v>
      </c>
      <c r="AP24" s="40" t="n">
        <f aca="false">'Comp - Centre'!AP21</f>
        <v>0</v>
      </c>
      <c r="AQ24" s="40" t="n">
        <f aca="false">'Comp - Centre'!AQ21</f>
        <v>0</v>
      </c>
      <c r="AR24" s="40" t="n">
        <f aca="false">'Comp - Centre'!AR21</f>
        <v>0</v>
      </c>
      <c r="AS24" s="40" t="n">
        <f aca="false">'Comp - Centre'!AS21</f>
        <v>0</v>
      </c>
      <c r="AT24" s="40" t="n">
        <f aca="false">'Comp - Centre'!AT21</f>
        <v>0</v>
      </c>
      <c r="AU24" s="40" t="n">
        <f aca="false">'Comp - Centre'!AU21</f>
        <v>0</v>
      </c>
      <c r="AV24" s="40" t="n">
        <f aca="false">'Comp - Centre'!AV21</f>
        <v>0</v>
      </c>
      <c r="AW24" s="40" t="n">
        <f aca="false">'Comp - Centre'!AW21</f>
        <v>0</v>
      </c>
      <c r="AX24" s="40" t="n">
        <f aca="false">'Comp - Centre'!AX21</f>
        <v>0</v>
      </c>
      <c r="AY24" s="40" t="n">
        <f aca="false">'Comp - Centre'!AY21</f>
        <v>0</v>
      </c>
      <c r="AZ24" s="40" t="n">
        <f aca="false">'Comp - Centre'!AZ21</f>
        <v>0</v>
      </c>
    </row>
    <row r="25" customFormat="false" ht="15" hidden="false" customHeight="true" outlineLevel="0" collapsed="false">
      <c r="A25" s="13" t="s">
        <v>390</v>
      </c>
      <c r="C25" s="41" t="n">
        <f aca="false">SUM(D25:AZ25)</f>
        <v>19.83</v>
      </c>
      <c r="D25" s="40" t="n">
        <f aca="false">'Comp - Retail'!D21</f>
        <v>0</v>
      </c>
      <c r="E25" s="40" t="n">
        <f aca="false">'Comp - Retail'!E21</f>
        <v>0</v>
      </c>
      <c r="F25" s="40" t="n">
        <f aca="false">'Comp - Retail'!F21</f>
        <v>9.915</v>
      </c>
      <c r="G25" s="40" t="n">
        <f aca="false">'Comp - Retail'!G21</f>
        <v>9.915</v>
      </c>
      <c r="H25" s="40" t="n">
        <f aca="false">'Comp - Retail'!H21</f>
        <v>0</v>
      </c>
      <c r="I25" s="40" t="n">
        <f aca="false">'Comp - Retail'!I21</f>
        <v>0</v>
      </c>
      <c r="J25" s="40" t="n">
        <f aca="false">'Comp - Retail'!J21</f>
        <v>0</v>
      </c>
      <c r="K25" s="40" t="n">
        <f aca="false">'Comp - Retail'!K21</f>
        <v>0</v>
      </c>
      <c r="L25" s="40" t="n">
        <f aca="false">'Comp - Retail'!L21</f>
        <v>0</v>
      </c>
      <c r="M25" s="40" t="n">
        <f aca="false">'Comp - Retail'!M21</f>
        <v>0</v>
      </c>
      <c r="N25" s="40" t="n">
        <f aca="false">'Comp - Retail'!N21</f>
        <v>0</v>
      </c>
      <c r="O25" s="40" t="n">
        <f aca="false">'Comp - Retail'!O21</f>
        <v>0</v>
      </c>
      <c r="P25" s="40" t="n">
        <f aca="false">'Comp - Retail'!P21</f>
        <v>0</v>
      </c>
      <c r="Q25" s="40" t="n">
        <f aca="false">'Comp - Retail'!Q21</f>
        <v>0</v>
      </c>
      <c r="R25" s="40" t="n">
        <f aca="false">'Comp - Retail'!R21</f>
        <v>0</v>
      </c>
      <c r="S25" s="40" t="n">
        <f aca="false">'Comp - Retail'!S21</f>
        <v>0</v>
      </c>
      <c r="T25" s="40" t="n">
        <f aca="false">'Comp - Retail'!T21</f>
        <v>0</v>
      </c>
      <c r="U25" s="40" t="n">
        <f aca="false">'Comp - Retail'!U21</f>
        <v>0</v>
      </c>
      <c r="V25" s="40" t="n">
        <f aca="false">'Comp - Retail'!V21</f>
        <v>0</v>
      </c>
      <c r="W25" s="40" t="n">
        <f aca="false">'Comp - Retail'!W21</f>
        <v>0</v>
      </c>
      <c r="X25" s="40" t="n">
        <f aca="false">'Comp - Retail'!X21</f>
        <v>0</v>
      </c>
      <c r="Y25" s="40" t="n">
        <f aca="false">'Comp - Retail'!Y21</f>
        <v>0</v>
      </c>
      <c r="Z25" s="40" t="n">
        <f aca="false">'Comp - Retail'!Z21</f>
        <v>0</v>
      </c>
      <c r="AA25" s="40" t="n">
        <f aca="false">'Comp - Retail'!AA21</f>
        <v>0</v>
      </c>
      <c r="AB25" s="40" t="n">
        <f aca="false">'Comp - Retail'!AB21</f>
        <v>0</v>
      </c>
      <c r="AC25" s="40" t="n">
        <f aca="false">'Comp - Retail'!AC21</f>
        <v>0</v>
      </c>
      <c r="AD25" s="40" t="n">
        <f aca="false">'Comp - Retail'!AD21</f>
        <v>0</v>
      </c>
      <c r="AE25" s="40" t="n">
        <f aca="false">'Comp - Retail'!AE21</f>
        <v>0</v>
      </c>
      <c r="AF25" s="40" t="n">
        <f aca="false">'Comp - Retail'!AF21</f>
        <v>0</v>
      </c>
      <c r="AG25" s="40" t="n">
        <f aca="false">'Comp - Retail'!AG21</f>
        <v>0</v>
      </c>
      <c r="AH25" s="40" t="n">
        <f aca="false">'Comp - Retail'!AH21</f>
        <v>0</v>
      </c>
      <c r="AI25" s="40" t="n">
        <f aca="false">'Comp - Retail'!AI21</f>
        <v>0</v>
      </c>
      <c r="AJ25" s="40" t="n">
        <f aca="false">'Comp - Retail'!AJ21</f>
        <v>0</v>
      </c>
      <c r="AK25" s="40" t="n">
        <f aca="false">'Comp - Retail'!AK21</f>
        <v>0</v>
      </c>
      <c r="AL25" s="40" t="n">
        <f aca="false">'Comp - Retail'!AL21</f>
        <v>0</v>
      </c>
      <c r="AM25" s="40" t="n">
        <f aca="false">'Comp - Retail'!AM21</f>
        <v>0</v>
      </c>
      <c r="AN25" s="40" t="n">
        <f aca="false">'Comp - Retail'!AN21</f>
        <v>0</v>
      </c>
      <c r="AO25" s="40" t="n">
        <f aca="false">'Comp - Retail'!AO21</f>
        <v>0</v>
      </c>
      <c r="AP25" s="40" t="n">
        <f aca="false">'Comp - Retail'!AP21</f>
        <v>0</v>
      </c>
      <c r="AQ25" s="40" t="n">
        <f aca="false">'Comp - Retail'!AQ21</f>
        <v>0</v>
      </c>
      <c r="AR25" s="40" t="n">
        <f aca="false">'Comp - Retail'!AR21</f>
        <v>0</v>
      </c>
      <c r="AS25" s="40" t="n">
        <f aca="false">'Comp - Retail'!AS21</f>
        <v>0</v>
      </c>
      <c r="AT25" s="40" t="n">
        <f aca="false">'Comp - Retail'!AT21</f>
        <v>0</v>
      </c>
      <c r="AU25" s="40" t="n">
        <f aca="false">'Comp - Retail'!AU21</f>
        <v>0</v>
      </c>
      <c r="AV25" s="40" t="n">
        <f aca="false">'Comp - Retail'!AV21</f>
        <v>0</v>
      </c>
      <c r="AW25" s="40" t="n">
        <f aca="false">'Comp - Retail'!AW21</f>
        <v>0</v>
      </c>
      <c r="AX25" s="40" t="n">
        <f aca="false">'Comp - Retail'!AX21</f>
        <v>0</v>
      </c>
      <c r="AY25" s="40" t="n">
        <f aca="false">'Comp - Retail'!AY21</f>
        <v>0</v>
      </c>
      <c r="AZ25" s="40" t="n">
        <f aca="false">'Comp - Retail'!AZ21</f>
        <v>0</v>
      </c>
    </row>
    <row r="26" customFormat="false" ht="15" hidden="false" customHeight="true" outlineLevel="0" collapsed="false">
      <c r="A26" s="13" t="s">
        <v>391</v>
      </c>
      <c r="C26" s="41" t="n">
        <f aca="false">SUM(D26:AZ26)</f>
        <v>15</v>
      </c>
      <c r="D26" s="40" t="n">
        <f aca="false">'Comp - Hotel'!D21</f>
        <v>0</v>
      </c>
      <c r="E26" s="40" t="n">
        <f aca="false">'Comp - Hotel'!E21</f>
        <v>0</v>
      </c>
      <c r="F26" s="40" t="n">
        <f aca="false">'Comp - Hotel'!F21</f>
        <v>4.9995</v>
      </c>
      <c r="G26" s="40" t="n">
        <f aca="false">'Comp - Hotel'!G21</f>
        <v>10.0005</v>
      </c>
      <c r="H26" s="40" t="n">
        <f aca="false">'Comp - Hotel'!H21</f>
        <v>0</v>
      </c>
      <c r="I26" s="40" t="n">
        <f aca="false">'Comp - Hotel'!I21</f>
        <v>0</v>
      </c>
      <c r="J26" s="40" t="n">
        <f aca="false">'Comp - Hotel'!J21</f>
        <v>0</v>
      </c>
      <c r="K26" s="40" t="n">
        <f aca="false">'Comp - Hotel'!K21</f>
        <v>0</v>
      </c>
      <c r="L26" s="40" t="n">
        <f aca="false">'Comp - Hotel'!L21</f>
        <v>0</v>
      </c>
      <c r="M26" s="40" t="n">
        <f aca="false">'Comp - Hotel'!M21</f>
        <v>0</v>
      </c>
      <c r="N26" s="40" t="n">
        <f aca="false">'Comp - Hotel'!N21</f>
        <v>0</v>
      </c>
      <c r="O26" s="40" t="n">
        <f aca="false">'Comp - Hotel'!O21</f>
        <v>0</v>
      </c>
      <c r="P26" s="40" t="n">
        <f aca="false">'Comp - Hotel'!P21</f>
        <v>0</v>
      </c>
      <c r="Q26" s="40" t="n">
        <f aca="false">'Comp - Hotel'!Q21</f>
        <v>0</v>
      </c>
      <c r="R26" s="40" t="n">
        <f aca="false">'Comp - Hotel'!R21</f>
        <v>0</v>
      </c>
      <c r="S26" s="40" t="n">
        <f aca="false">'Comp - Hotel'!S21</f>
        <v>0</v>
      </c>
      <c r="T26" s="40" t="n">
        <f aca="false">'Comp - Hotel'!T21</f>
        <v>0</v>
      </c>
      <c r="U26" s="40" t="n">
        <f aca="false">'Comp - Hotel'!U21</f>
        <v>0</v>
      </c>
      <c r="V26" s="40" t="n">
        <f aca="false">'Comp - Hotel'!V21</f>
        <v>0</v>
      </c>
      <c r="W26" s="40" t="n">
        <f aca="false">'Comp - Hotel'!W21</f>
        <v>0</v>
      </c>
      <c r="X26" s="40" t="n">
        <f aca="false">'Comp - Hotel'!X21</f>
        <v>0</v>
      </c>
      <c r="Y26" s="40" t="n">
        <f aca="false">'Comp - Hotel'!Y21</f>
        <v>0</v>
      </c>
      <c r="Z26" s="40" t="n">
        <f aca="false">'Comp - Hotel'!Z21</f>
        <v>0</v>
      </c>
      <c r="AA26" s="40" t="n">
        <f aca="false">'Comp - Hotel'!AA21</f>
        <v>0</v>
      </c>
      <c r="AB26" s="40" t="n">
        <f aca="false">'Comp - Hotel'!AB21</f>
        <v>0</v>
      </c>
      <c r="AC26" s="40" t="n">
        <f aca="false">'Comp - Hotel'!AC21</f>
        <v>0</v>
      </c>
      <c r="AD26" s="40" t="n">
        <f aca="false">'Comp - Hotel'!AD21</f>
        <v>0</v>
      </c>
      <c r="AE26" s="40" t="n">
        <f aca="false">'Comp - Hotel'!AE21</f>
        <v>0</v>
      </c>
      <c r="AF26" s="40" t="n">
        <f aca="false">'Comp - Hotel'!AF21</f>
        <v>0</v>
      </c>
      <c r="AG26" s="40" t="n">
        <f aca="false">'Comp - Hotel'!AG21</f>
        <v>0</v>
      </c>
      <c r="AH26" s="40" t="n">
        <f aca="false">'Comp - Hotel'!AH21</f>
        <v>0</v>
      </c>
      <c r="AI26" s="40" t="n">
        <f aca="false">'Comp - Hotel'!AI21</f>
        <v>0</v>
      </c>
      <c r="AJ26" s="40" t="n">
        <f aca="false">'Comp - Hotel'!AJ21</f>
        <v>0</v>
      </c>
      <c r="AK26" s="40" t="n">
        <f aca="false">'Comp - Hotel'!AK21</f>
        <v>0</v>
      </c>
      <c r="AL26" s="40" t="n">
        <f aca="false">'Comp - Hotel'!AL21</f>
        <v>0</v>
      </c>
      <c r="AM26" s="40" t="n">
        <f aca="false">'Comp - Hotel'!AM21</f>
        <v>0</v>
      </c>
      <c r="AN26" s="40" t="n">
        <f aca="false">'Comp - Hotel'!AN21</f>
        <v>0</v>
      </c>
      <c r="AO26" s="40" t="n">
        <f aca="false">'Comp - Hotel'!AO21</f>
        <v>0</v>
      </c>
      <c r="AP26" s="40" t="n">
        <f aca="false">'Comp - Hotel'!AP21</f>
        <v>0</v>
      </c>
      <c r="AQ26" s="40" t="n">
        <f aca="false">'Comp - Hotel'!AQ21</f>
        <v>0</v>
      </c>
      <c r="AR26" s="40" t="n">
        <f aca="false">'Comp - Hotel'!AR21</f>
        <v>0</v>
      </c>
      <c r="AS26" s="40" t="n">
        <f aca="false">'Comp - Hotel'!AS21</f>
        <v>0</v>
      </c>
      <c r="AT26" s="40" t="n">
        <f aca="false">'Comp - Hotel'!AT21</f>
        <v>0</v>
      </c>
      <c r="AU26" s="40" t="n">
        <f aca="false">'Comp - Hotel'!AU21</f>
        <v>0</v>
      </c>
      <c r="AV26" s="40" t="n">
        <f aca="false">'Comp - Hotel'!AV21</f>
        <v>0</v>
      </c>
      <c r="AW26" s="40" t="n">
        <f aca="false">'Comp - Hotel'!AW21</f>
        <v>0</v>
      </c>
      <c r="AX26" s="40" t="n">
        <f aca="false">'Comp - Hotel'!AX21</f>
        <v>0</v>
      </c>
      <c r="AY26" s="40" t="n">
        <f aca="false">'Comp - Hotel'!AY21</f>
        <v>0</v>
      </c>
      <c r="AZ26" s="40" t="n">
        <f aca="false">'Comp - Hotel'!AZ21</f>
        <v>0</v>
      </c>
    </row>
    <row r="27" customFormat="false" ht="15" hidden="false" customHeight="true" outlineLevel="0" collapsed="false">
      <c r="A27" s="6" t="s">
        <v>392</v>
      </c>
      <c r="C27" s="44" t="n">
        <f aca="false">SUM(D27:AZ27)</f>
        <v>53.03</v>
      </c>
      <c r="D27" s="44" t="n">
        <f aca="false">SUM(D24:D26)</f>
        <v>0</v>
      </c>
      <c r="E27" s="44" t="n">
        <f aca="false">SUM(E24:E26)</f>
        <v>2.4752</v>
      </c>
      <c r="F27" s="44" t="n">
        <f aca="false">SUM(F24:F26)</f>
        <v>30.6393</v>
      </c>
      <c r="G27" s="44" t="n">
        <f aca="false">SUM(G24:G26)</f>
        <v>19.9155</v>
      </c>
      <c r="H27" s="44" t="n">
        <f aca="false">SUM(H24:H26)</f>
        <v>0</v>
      </c>
      <c r="I27" s="44" t="n">
        <f aca="false">SUM(I24:I26)</f>
        <v>0</v>
      </c>
      <c r="J27" s="44" t="n">
        <f aca="false">SUM(J24:J26)</f>
        <v>0</v>
      </c>
      <c r="K27" s="44" t="n">
        <f aca="false">SUM(K24:K26)</f>
        <v>0</v>
      </c>
      <c r="L27" s="44" t="n">
        <f aca="false">SUM(L24:L26)</f>
        <v>0</v>
      </c>
      <c r="M27" s="44" t="n">
        <f aca="false">SUM(M24:M26)</f>
        <v>0</v>
      </c>
      <c r="N27" s="44" t="n">
        <f aca="false">SUM(N24:N26)</f>
        <v>0</v>
      </c>
      <c r="O27" s="44" t="n">
        <f aca="false">SUM(O24:O26)</f>
        <v>0</v>
      </c>
      <c r="P27" s="44" t="n">
        <f aca="false">SUM(P24:P26)</f>
        <v>0</v>
      </c>
      <c r="Q27" s="44" t="n">
        <f aca="false">SUM(Q24:Q26)</f>
        <v>0</v>
      </c>
      <c r="R27" s="44" t="n">
        <f aca="false">SUM(R24:R26)</f>
        <v>0</v>
      </c>
      <c r="S27" s="44" t="n">
        <f aca="false">SUM(S24:S26)</f>
        <v>0</v>
      </c>
      <c r="T27" s="44" t="n">
        <f aca="false">SUM(T24:T26)</f>
        <v>0</v>
      </c>
      <c r="U27" s="44" t="n">
        <f aca="false">SUM(U24:U26)</f>
        <v>0</v>
      </c>
      <c r="V27" s="44" t="n">
        <f aca="false">SUM(V24:V26)</f>
        <v>0</v>
      </c>
      <c r="W27" s="44" t="n">
        <f aca="false">SUM(W24:W26)</f>
        <v>0</v>
      </c>
      <c r="X27" s="44" t="n">
        <f aca="false">SUM(X24:X26)</f>
        <v>0</v>
      </c>
      <c r="Y27" s="44" t="n">
        <f aca="false">SUM(Y24:Y26)</f>
        <v>0</v>
      </c>
      <c r="Z27" s="44" t="n">
        <f aca="false">SUM(Z24:Z26)</f>
        <v>0</v>
      </c>
      <c r="AA27" s="44" t="n">
        <f aca="false">SUM(AA24:AA26)</f>
        <v>0</v>
      </c>
      <c r="AB27" s="44" t="n">
        <f aca="false">SUM(AB24:AB26)</f>
        <v>0</v>
      </c>
      <c r="AC27" s="44" t="n">
        <f aca="false">SUM(AC24:AC26)</f>
        <v>0</v>
      </c>
      <c r="AD27" s="44" t="n">
        <f aca="false">SUM(AD24:AD26)</f>
        <v>0</v>
      </c>
      <c r="AE27" s="44" t="n">
        <f aca="false">SUM(AE24:AE26)</f>
        <v>0</v>
      </c>
      <c r="AF27" s="44" t="n">
        <f aca="false">SUM(AF24:AF26)</f>
        <v>0</v>
      </c>
      <c r="AG27" s="44" t="n">
        <f aca="false">SUM(AG24:AG26)</f>
        <v>0</v>
      </c>
      <c r="AH27" s="44" t="n">
        <f aca="false">SUM(AH24:AH26)</f>
        <v>0</v>
      </c>
      <c r="AI27" s="44" t="n">
        <f aca="false">SUM(AI24:AI26)</f>
        <v>0</v>
      </c>
      <c r="AJ27" s="44" t="n">
        <f aca="false">SUM(AJ24:AJ26)</f>
        <v>0</v>
      </c>
      <c r="AK27" s="44" t="n">
        <f aca="false">SUM(AK24:AK26)</f>
        <v>0</v>
      </c>
      <c r="AL27" s="44" t="n">
        <f aca="false">SUM(AL24:AL26)</f>
        <v>0</v>
      </c>
      <c r="AM27" s="44" t="n">
        <f aca="false">SUM(AM24:AM26)</f>
        <v>0</v>
      </c>
      <c r="AN27" s="44" t="n">
        <f aca="false">SUM(AN24:AN26)</f>
        <v>0</v>
      </c>
      <c r="AO27" s="44" t="n">
        <f aca="false">SUM(AO24:AO26)</f>
        <v>0</v>
      </c>
      <c r="AP27" s="44" t="n">
        <f aca="false">SUM(AP24:AP26)</f>
        <v>0</v>
      </c>
      <c r="AQ27" s="44" t="n">
        <f aca="false">SUM(AQ24:AQ26)</f>
        <v>0</v>
      </c>
      <c r="AR27" s="44" t="n">
        <f aca="false">SUM(AR24:AR26)</f>
        <v>0</v>
      </c>
      <c r="AS27" s="44" t="n">
        <f aca="false">SUM(AS24:AS26)</f>
        <v>0</v>
      </c>
      <c r="AT27" s="44" t="n">
        <f aca="false">SUM(AT24:AT26)</f>
        <v>0</v>
      </c>
      <c r="AU27" s="44" t="n">
        <f aca="false">SUM(AU24:AU26)</f>
        <v>0</v>
      </c>
      <c r="AV27" s="44" t="n">
        <f aca="false">SUM(AV24:AV26)</f>
        <v>0</v>
      </c>
      <c r="AW27" s="44" t="n">
        <f aca="false">SUM(AW24:AW26)</f>
        <v>0</v>
      </c>
      <c r="AX27" s="44" t="n">
        <f aca="false">SUM(AX24:AX26)</f>
        <v>0</v>
      </c>
      <c r="AY27" s="44" t="n">
        <f aca="false">SUM(AY24:AY26)</f>
        <v>0</v>
      </c>
      <c r="AZ27" s="44" t="n">
        <f aca="false">SUM(AZ24:AZ26)</f>
        <v>0</v>
      </c>
    </row>
    <row r="29" customFormat="false" ht="15" hidden="false" customHeight="true" outlineLevel="0" collapsed="false">
      <c r="A29" s="6" t="s">
        <v>393</v>
      </c>
      <c r="C29" s="44" t="n">
        <f aca="false">SUM(D29:AZ29)</f>
        <v>550.1</v>
      </c>
      <c r="D29" s="44" t="n">
        <f aca="false">D21+D27</f>
        <v>28.7832629420656</v>
      </c>
      <c r="E29" s="44" t="n">
        <f aca="false">E21+E27</f>
        <v>202.861237916539</v>
      </c>
      <c r="F29" s="44" t="n">
        <f aca="false">F21+F27</f>
        <v>248.472650736915</v>
      </c>
      <c r="G29" s="44" t="n">
        <f aca="false">G21+G27</f>
        <v>69.98284840448</v>
      </c>
      <c r="H29" s="44" t="n">
        <f aca="false">H21+H27</f>
        <v>0</v>
      </c>
      <c r="I29" s="44" t="n">
        <f aca="false">I21+I27</f>
        <v>0</v>
      </c>
      <c r="J29" s="44" t="n">
        <f aca="false">J21+J27</f>
        <v>0</v>
      </c>
      <c r="K29" s="44" t="n">
        <f aca="false">K21+K27</f>
        <v>0</v>
      </c>
      <c r="L29" s="44" t="n">
        <f aca="false">L21+L27</f>
        <v>0</v>
      </c>
      <c r="M29" s="44" t="n">
        <f aca="false">M21+M27</f>
        <v>0</v>
      </c>
      <c r="N29" s="44" t="n">
        <f aca="false">N21+N27</f>
        <v>0</v>
      </c>
      <c r="O29" s="44" t="n">
        <f aca="false">O21+O27</f>
        <v>0</v>
      </c>
      <c r="P29" s="44" t="n">
        <f aca="false">P21+P27</f>
        <v>0</v>
      </c>
      <c r="Q29" s="44" t="n">
        <f aca="false">Q21+Q27</f>
        <v>0</v>
      </c>
      <c r="R29" s="44" t="n">
        <f aca="false">R21+R27</f>
        <v>0</v>
      </c>
      <c r="S29" s="44" t="n">
        <f aca="false">S21+S27</f>
        <v>0</v>
      </c>
      <c r="T29" s="44" t="n">
        <f aca="false">T21+T27</f>
        <v>0</v>
      </c>
      <c r="U29" s="44" t="n">
        <f aca="false">U21+U27</f>
        <v>0</v>
      </c>
      <c r="V29" s="44" t="n">
        <f aca="false">V21+V27</f>
        <v>0</v>
      </c>
      <c r="W29" s="44" t="n">
        <f aca="false">W21+W27</f>
        <v>0</v>
      </c>
      <c r="X29" s="44" t="n">
        <f aca="false">X21+X27</f>
        <v>0</v>
      </c>
      <c r="Y29" s="44" t="n">
        <f aca="false">Y21+Y27</f>
        <v>0</v>
      </c>
      <c r="Z29" s="44" t="n">
        <f aca="false">Z21+Z27</f>
        <v>0</v>
      </c>
      <c r="AA29" s="44" t="n">
        <f aca="false">AA21+AA27</f>
        <v>0</v>
      </c>
      <c r="AB29" s="44" t="n">
        <f aca="false">AB21+AB27</f>
        <v>0</v>
      </c>
      <c r="AC29" s="44" t="n">
        <f aca="false">AC21+AC27</f>
        <v>0</v>
      </c>
      <c r="AD29" s="44" t="n">
        <f aca="false">AD21+AD27</f>
        <v>0</v>
      </c>
      <c r="AE29" s="44" t="n">
        <f aca="false">AE21+AE27</f>
        <v>0</v>
      </c>
      <c r="AF29" s="44" t="n">
        <f aca="false">AF21+AF27</f>
        <v>0</v>
      </c>
      <c r="AG29" s="44" t="n">
        <f aca="false">AG21+AG27</f>
        <v>0</v>
      </c>
      <c r="AH29" s="44" t="n">
        <f aca="false">AH21+AH27</f>
        <v>0</v>
      </c>
      <c r="AI29" s="44" t="n">
        <f aca="false">AI21+AI27</f>
        <v>0</v>
      </c>
      <c r="AJ29" s="44" t="n">
        <f aca="false">AJ21+AJ27</f>
        <v>0</v>
      </c>
      <c r="AK29" s="44" t="n">
        <f aca="false">AK21+AK27</f>
        <v>0</v>
      </c>
      <c r="AL29" s="44" t="n">
        <f aca="false">AL21+AL27</f>
        <v>0</v>
      </c>
      <c r="AM29" s="44" t="n">
        <f aca="false">AM21+AM27</f>
        <v>0</v>
      </c>
      <c r="AN29" s="44" t="n">
        <f aca="false">AN21+AN27</f>
        <v>0</v>
      </c>
      <c r="AO29" s="44" t="n">
        <f aca="false">AO21+AO27</f>
        <v>0</v>
      </c>
      <c r="AP29" s="44" t="n">
        <f aca="false">AP21+AP27</f>
        <v>0</v>
      </c>
      <c r="AQ29" s="44" t="n">
        <f aca="false">AQ21+AQ27</f>
        <v>0</v>
      </c>
      <c r="AR29" s="44" t="n">
        <f aca="false">AR21+AR27</f>
        <v>0</v>
      </c>
      <c r="AS29" s="44" t="n">
        <f aca="false">AS21+AS27</f>
        <v>0</v>
      </c>
      <c r="AT29" s="44" t="n">
        <f aca="false">AT21+AT27</f>
        <v>0</v>
      </c>
      <c r="AU29" s="44" t="n">
        <f aca="false">AU21+AU27</f>
        <v>0</v>
      </c>
      <c r="AV29" s="44" t="n">
        <f aca="false">AV21+AV27</f>
        <v>0</v>
      </c>
      <c r="AW29" s="44" t="n">
        <f aca="false">AW21+AW27</f>
        <v>0</v>
      </c>
      <c r="AX29" s="44" t="n">
        <f aca="false">AX21+AX27</f>
        <v>0</v>
      </c>
      <c r="AY29" s="44" t="n">
        <f aca="false">AY21+AY27</f>
        <v>0</v>
      </c>
      <c r="AZ29" s="44" t="n">
        <f aca="false">AZ21+AZ27</f>
        <v>0</v>
      </c>
    </row>
    <row r="30" customFormat="false" ht="15" hidden="false" customHeight="true" outlineLevel="0" collapsed="false">
      <c r="A30" s="13" t="s">
        <v>394</v>
      </c>
      <c r="D30" s="41" t="n">
        <f aca="false">D29</f>
        <v>28.7832629420656</v>
      </c>
      <c r="E30" s="41" t="n">
        <f aca="false">D30+E29</f>
        <v>231.644500858605</v>
      </c>
      <c r="F30" s="41" t="n">
        <f aca="false">E30+F29</f>
        <v>480.11715159552</v>
      </c>
      <c r="G30" s="41" t="n">
        <f aca="false">F30+G29</f>
        <v>550.1</v>
      </c>
      <c r="H30" s="41" t="n">
        <f aca="false">G30+H29</f>
        <v>550.1</v>
      </c>
      <c r="I30" s="41" t="n">
        <f aca="false">H30+I29</f>
        <v>550.1</v>
      </c>
      <c r="J30" s="41" t="n">
        <f aca="false">I30+J29</f>
        <v>550.1</v>
      </c>
      <c r="K30" s="41" t="n">
        <f aca="false">J30+K29</f>
        <v>550.1</v>
      </c>
      <c r="L30" s="41" t="n">
        <f aca="false">K30+L29</f>
        <v>550.1</v>
      </c>
      <c r="M30" s="41" t="n">
        <f aca="false">L30+M29</f>
        <v>550.1</v>
      </c>
      <c r="N30" s="41" t="n">
        <f aca="false">M30+N29</f>
        <v>550.1</v>
      </c>
      <c r="O30" s="41" t="n">
        <f aca="false">N30+O29</f>
        <v>550.1</v>
      </c>
      <c r="P30" s="41" t="n">
        <f aca="false">O30+P29</f>
        <v>550.1</v>
      </c>
      <c r="Q30" s="41" t="n">
        <f aca="false">P30+Q29</f>
        <v>550.1</v>
      </c>
      <c r="R30" s="41" t="n">
        <f aca="false">Q30+R29</f>
        <v>550.1</v>
      </c>
      <c r="S30" s="41" t="n">
        <f aca="false">R30+S29</f>
        <v>550.1</v>
      </c>
      <c r="T30" s="41" t="n">
        <f aca="false">S30+T29</f>
        <v>550.1</v>
      </c>
      <c r="U30" s="41" t="n">
        <f aca="false">T30+U29</f>
        <v>550.1</v>
      </c>
      <c r="V30" s="41" t="n">
        <f aca="false">U30+V29</f>
        <v>550.1</v>
      </c>
      <c r="W30" s="41" t="n">
        <f aca="false">V30+W29</f>
        <v>550.1</v>
      </c>
      <c r="X30" s="41" t="n">
        <f aca="false">W30+X29</f>
        <v>550.1</v>
      </c>
      <c r="Y30" s="41" t="n">
        <f aca="false">X30+Y29</f>
        <v>550.1</v>
      </c>
      <c r="Z30" s="41" t="n">
        <f aca="false">Y30+Z29</f>
        <v>550.1</v>
      </c>
      <c r="AA30" s="41" t="n">
        <f aca="false">Z30+AA29</f>
        <v>550.1</v>
      </c>
      <c r="AB30" s="41" t="n">
        <f aca="false">AA30+AB29</f>
        <v>550.1</v>
      </c>
      <c r="AC30" s="41" t="n">
        <f aca="false">AB30+AC29</f>
        <v>550.1</v>
      </c>
      <c r="AD30" s="41" t="n">
        <f aca="false">AC30+AD29</f>
        <v>550.1</v>
      </c>
      <c r="AE30" s="41" t="n">
        <f aca="false">AD30+AE29</f>
        <v>550.1</v>
      </c>
      <c r="AF30" s="41" t="n">
        <f aca="false">AE30+AF29</f>
        <v>550.1</v>
      </c>
      <c r="AG30" s="41" t="n">
        <f aca="false">AF30+AG29</f>
        <v>550.1</v>
      </c>
      <c r="AH30" s="41" t="n">
        <f aca="false">AG30+AH29</f>
        <v>550.1</v>
      </c>
      <c r="AI30" s="41" t="n">
        <f aca="false">AH30+AI29</f>
        <v>550.1</v>
      </c>
      <c r="AJ30" s="41" t="n">
        <f aca="false">AI30+AJ29</f>
        <v>550.1</v>
      </c>
      <c r="AK30" s="41" t="n">
        <f aca="false">AJ30+AK29</f>
        <v>550.1</v>
      </c>
      <c r="AL30" s="41" t="n">
        <f aca="false">AK30+AL29</f>
        <v>550.1</v>
      </c>
      <c r="AM30" s="41" t="n">
        <f aca="false">AL30+AM29</f>
        <v>550.1</v>
      </c>
      <c r="AN30" s="41" t="n">
        <f aca="false">AM30+AN29</f>
        <v>550.1</v>
      </c>
      <c r="AO30" s="41" t="n">
        <f aca="false">AN30+AO29</f>
        <v>550.1</v>
      </c>
      <c r="AP30" s="41" t="n">
        <f aca="false">AO30+AP29</f>
        <v>550.1</v>
      </c>
      <c r="AQ30" s="41" t="n">
        <f aca="false">AP30+AQ29</f>
        <v>550.1</v>
      </c>
      <c r="AR30" s="41" t="n">
        <f aca="false">AQ30+AR29</f>
        <v>550.1</v>
      </c>
      <c r="AS30" s="41" t="n">
        <f aca="false">AR30+AS29</f>
        <v>550.1</v>
      </c>
      <c r="AT30" s="41" t="n">
        <f aca="false">AS30+AT29</f>
        <v>550.1</v>
      </c>
      <c r="AU30" s="41" t="n">
        <f aca="false">AT30+AU29</f>
        <v>550.1</v>
      </c>
      <c r="AV30" s="41" t="n">
        <f aca="false">AU30+AV29</f>
        <v>550.1</v>
      </c>
      <c r="AW30" s="41" t="n">
        <f aca="false">AV30+AW29</f>
        <v>550.1</v>
      </c>
      <c r="AX30" s="41" t="n">
        <f aca="false">AW30+AX29</f>
        <v>550.1</v>
      </c>
      <c r="AY30" s="41" t="n">
        <f aca="false">AX30+AY29</f>
        <v>550.1</v>
      </c>
      <c r="AZ30" s="41" t="n">
        <f aca="false">AY30+AZ29</f>
        <v>550.1</v>
      </c>
    </row>
    <row r="32" customFormat="false" ht="15" hidden="false" customHeight="true" outlineLevel="0" collapsed="false">
      <c r="A32" s="11" t="s">
        <v>395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</row>
    <row r="33" customFormat="false" ht="15" hidden="false" customHeight="true" outlineLevel="0" collapsed="false">
      <c r="A33" s="13" t="s">
        <v>396</v>
      </c>
      <c r="C33" s="41" t="n">
        <f aca="false">SUM(D33:AZ33)</f>
        <v>71.7</v>
      </c>
      <c r="D33" s="40" t="n">
        <f aca="false">Inputs!$B$40*D21/$C$21</f>
        <v>4.15184974540025</v>
      </c>
      <c r="E33" s="40" t="n">
        <f aca="false">Inputs!$B$40*E21/$C$21</f>
        <v>28.9047396113543</v>
      </c>
      <c r="F33" s="40" t="n">
        <f aca="false">Inputs!$B$40*F21/$C$21</f>
        <v>31.4214320877076</v>
      </c>
      <c r="G33" s="40" t="n">
        <f aca="false">Inputs!$B$40*G21/$C$21</f>
        <v>7.22197855553789</v>
      </c>
      <c r="H33" s="40" t="n">
        <v>0</v>
      </c>
      <c r="I33" s="40" t="n">
        <v>0</v>
      </c>
      <c r="J33" s="40" t="n">
        <v>0</v>
      </c>
      <c r="K33" s="40" t="n">
        <v>0</v>
      </c>
      <c r="L33" s="40" t="n">
        <v>0</v>
      </c>
      <c r="M33" s="40" t="n">
        <v>0</v>
      </c>
      <c r="N33" s="40" t="n">
        <v>0</v>
      </c>
      <c r="O33" s="40" t="n">
        <v>0</v>
      </c>
      <c r="P33" s="40" t="n">
        <v>0</v>
      </c>
      <c r="Q33" s="40" t="n">
        <v>0</v>
      </c>
      <c r="R33" s="40" t="n">
        <v>0</v>
      </c>
      <c r="S33" s="40" t="n">
        <v>0</v>
      </c>
      <c r="T33" s="40" t="n">
        <v>0</v>
      </c>
      <c r="U33" s="40" t="n">
        <v>0</v>
      </c>
      <c r="V33" s="40" t="n">
        <v>0</v>
      </c>
      <c r="W33" s="40" t="n">
        <v>0</v>
      </c>
      <c r="X33" s="40" t="n">
        <v>0</v>
      </c>
      <c r="Y33" s="40" t="n">
        <v>0</v>
      </c>
      <c r="Z33" s="40" t="n">
        <v>0</v>
      </c>
      <c r="AA33" s="40" t="n">
        <v>0</v>
      </c>
      <c r="AB33" s="40" t="n">
        <v>0</v>
      </c>
      <c r="AC33" s="40" t="n">
        <v>0</v>
      </c>
      <c r="AD33" s="40" t="n">
        <v>0</v>
      </c>
      <c r="AE33" s="40" t="n">
        <v>0</v>
      </c>
      <c r="AF33" s="40" t="n">
        <v>0</v>
      </c>
      <c r="AG33" s="40" t="n">
        <v>0</v>
      </c>
      <c r="AH33" s="40" t="n">
        <v>0</v>
      </c>
      <c r="AI33" s="40" t="n">
        <v>0</v>
      </c>
      <c r="AJ33" s="40" t="n">
        <v>0</v>
      </c>
      <c r="AK33" s="40" t="n">
        <v>0</v>
      </c>
      <c r="AL33" s="40" t="n">
        <v>0</v>
      </c>
      <c r="AM33" s="40" t="n">
        <v>0</v>
      </c>
      <c r="AN33" s="40" t="n">
        <v>0</v>
      </c>
      <c r="AO33" s="40" t="n">
        <v>0</v>
      </c>
      <c r="AP33" s="40" t="n">
        <v>0</v>
      </c>
      <c r="AQ33" s="40" t="n">
        <v>0</v>
      </c>
      <c r="AR33" s="40" t="n">
        <v>0</v>
      </c>
      <c r="AS33" s="40" t="n">
        <v>0</v>
      </c>
      <c r="AT33" s="40" t="n">
        <v>0</v>
      </c>
      <c r="AU33" s="40" t="n">
        <v>0</v>
      </c>
      <c r="AV33" s="40" t="n">
        <v>0</v>
      </c>
      <c r="AW33" s="40" t="n">
        <v>0</v>
      </c>
      <c r="AX33" s="40" t="n">
        <v>0</v>
      </c>
      <c r="AY33" s="40" t="n">
        <v>0</v>
      </c>
      <c r="AZ33" s="40" t="n">
        <v>0</v>
      </c>
    </row>
    <row r="35" customFormat="false" ht="15" hidden="false" customHeight="true" outlineLevel="0" collapsed="false">
      <c r="A35" s="6" t="s">
        <v>397</v>
      </c>
      <c r="C35" s="48" t="n">
        <f aca="false">C29-550</f>
        <v>0.100000000000023</v>
      </c>
      <c r="D35" s="15" t="s">
        <v>398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Z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6"/>
    <col collapsed="false" customWidth="true" hidden="false" outlineLevel="0" max="2" min="2" style="1" width="26"/>
    <col collapsed="false" customWidth="true" hidden="false" outlineLevel="0" max="3" min="3" style="1" width="11"/>
    <col collapsed="false" customWidth="true" hidden="false" outlineLevel="0" max="52" min="4" style="1" width="9.52"/>
  </cols>
  <sheetData>
    <row r="1" customFormat="false" ht="17.25" hidden="false" customHeight="true" outlineLevel="0" collapsed="false">
      <c r="A1" s="8" t="s">
        <v>399</v>
      </c>
      <c r="B1" s="9"/>
      <c r="C1" s="9"/>
      <c r="D1" s="9"/>
      <c r="E1" s="9"/>
      <c r="F1" s="9"/>
      <c r="G1" s="9"/>
      <c r="H1" s="9"/>
      <c r="I1" s="9"/>
      <c r="J1" s="9"/>
      <c r="K1" s="9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customFormat="false" ht="15" hidden="false" customHeight="true" outlineLevel="0" collapsed="false">
      <c r="A2" s="10" t="s">
        <v>400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customFormat="false" ht="15" hidden="false" customHeight="tru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customFormat="false" ht="15" hidden="false" customHeight="true" outlineLevel="0" collapsed="false">
      <c r="A4" s="6" t="s">
        <v>336</v>
      </c>
      <c r="B4" s="6" t="s">
        <v>337</v>
      </c>
      <c r="C4" s="46" t="s">
        <v>338</v>
      </c>
      <c r="D4" s="39" t="s">
        <v>64</v>
      </c>
      <c r="E4" s="39" t="s">
        <v>65</v>
      </c>
      <c r="F4" s="39" t="s">
        <v>66</v>
      </c>
      <c r="G4" s="39" t="s">
        <v>339</v>
      </c>
      <c r="H4" s="39" t="s">
        <v>340</v>
      </c>
      <c r="I4" s="39" t="s">
        <v>341</v>
      </c>
      <c r="J4" s="39" t="s">
        <v>342</v>
      </c>
      <c r="K4" s="39" t="s">
        <v>343</v>
      </c>
      <c r="L4" s="39" t="s">
        <v>344</v>
      </c>
      <c r="M4" s="39" t="s">
        <v>345</v>
      </c>
      <c r="N4" s="39" t="s">
        <v>346</v>
      </c>
      <c r="O4" s="39" t="s">
        <v>347</v>
      </c>
      <c r="P4" s="39" t="s">
        <v>348</v>
      </c>
      <c r="Q4" s="39" t="s">
        <v>349</v>
      </c>
      <c r="R4" s="39" t="s">
        <v>350</v>
      </c>
      <c r="S4" s="39" t="s">
        <v>351</v>
      </c>
      <c r="T4" s="39" t="s">
        <v>352</v>
      </c>
      <c r="U4" s="39" t="s">
        <v>353</v>
      </c>
      <c r="V4" s="39" t="s">
        <v>354</v>
      </c>
      <c r="W4" s="39" t="s">
        <v>355</v>
      </c>
      <c r="X4" s="39" t="s">
        <v>356</v>
      </c>
      <c r="Y4" s="39" t="s">
        <v>357</v>
      </c>
      <c r="Z4" s="39" t="s">
        <v>358</v>
      </c>
      <c r="AA4" s="39" t="s">
        <v>359</v>
      </c>
      <c r="AB4" s="39" t="s">
        <v>360</v>
      </c>
      <c r="AC4" s="39" t="s">
        <v>361</v>
      </c>
      <c r="AD4" s="39" t="s">
        <v>362</v>
      </c>
      <c r="AE4" s="39" t="s">
        <v>363</v>
      </c>
      <c r="AF4" s="39" t="s">
        <v>364</v>
      </c>
      <c r="AG4" s="39" t="s">
        <v>365</v>
      </c>
      <c r="AH4" s="39" t="s">
        <v>366</v>
      </c>
      <c r="AI4" s="39" t="s">
        <v>367</v>
      </c>
      <c r="AJ4" s="39" t="s">
        <v>368</v>
      </c>
      <c r="AK4" s="39" t="s">
        <v>369</v>
      </c>
      <c r="AL4" s="39" t="s">
        <v>370</v>
      </c>
      <c r="AM4" s="39" t="s">
        <v>371</v>
      </c>
      <c r="AN4" s="39" t="s">
        <v>372</v>
      </c>
      <c r="AO4" s="39" t="s">
        <v>373</v>
      </c>
      <c r="AP4" s="39" t="s">
        <v>374</v>
      </c>
      <c r="AQ4" s="39" t="s">
        <v>375</v>
      </c>
      <c r="AR4" s="39" t="s">
        <v>376</v>
      </c>
      <c r="AS4" s="39" t="s">
        <v>377</v>
      </c>
      <c r="AT4" s="39" t="s">
        <v>378</v>
      </c>
      <c r="AU4" s="39" t="s">
        <v>379</v>
      </c>
      <c r="AV4" s="39" t="s">
        <v>380</v>
      </c>
      <c r="AW4" s="39" t="s">
        <v>381</v>
      </c>
      <c r="AX4" s="39" t="s">
        <v>382</v>
      </c>
      <c r="AY4" s="39" t="s">
        <v>383</v>
      </c>
      <c r="AZ4" s="39" t="s">
        <v>384</v>
      </c>
    </row>
    <row r="5" customFormat="false" ht="15" hidden="false" customHeight="true" outlineLevel="0" collapsed="false">
      <c r="A5" s="11" t="s">
        <v>325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</row>
    <row r="6" customFormat="false" ht="15" hidden="false" customHeight="true" outlineLevel="0" collapsed="false">
      <c r="A6" s="13" t="s">
        <v>401</v>
      </c>
      <c r="B6" s="2"/>
      <c r="C6" s="2"/>
      <c r="D6" s="49" t="n">
        <f aca="false">(1+Inputs!$B$64)^(2026-2029)</f>
        <v>0.936525992018507</v>
      </c>
      <c r="E6" s="49" t="n">
        <f aca="false">(1+Inputs!$B$64)^(2027-2029)</f>
        <v>0.957223216442116</v>
      </c>
      <c r="F6" s="49" t="n">
        <f aca="false">(1+Inputs!$B$64)^(2028-2029)</f>
        <v>0.978377849525487</v>
      </c>
      <c r="G6" s="49" t="n">
        <f aca="false">(1+Inputs!$B$64)^(2029-2029)</f>
        <v>1</v>
      </c>
      <c r="H6" s="49" t="n">
        <f aca="false">(1+Inputs!$B$64)^(2030-2029)</f>
        <v>1.0221</v>
      </c>
      <c r="I6" s="49" t="n">
        <f aca="false">(1+Inputs!$B$64)^(2031-2029)</f>
        <v>1.04468841</v>
      </c>
      <c r="J6" s="49" t="n">
        <f aca="false">(1+Inputs!$B$64)^(2032-2029)</f>
        <v>1.067776023861</v>
      </c>
      <c r="K6" s="49" t="n">
        <f aca="false">(1+Inputs!$B$64)^(2033-2029)</f>
        <v>1.09137387398833</v>
      </c>
      <c r="L6" s="49" t="n">
        <f aca="false">(1+Inputs!$B$64)^(2034-2029)</f>
        <v>1.11549323660347</v>
      </c>
      <c r="M6" s="49" t="n">
        <f aca="false">(1+Inputs!$B$64)^(2035-2029)</f>
        <v>1.14014563713241</v>
      </c>
      <c r="N6" s="49" t="n">
        <f aca="false">(1+Inputs!$B$64)^(2036-2029)</f>
        <v>1.16534285571303</v>
      </c>
      <c r="O6" s="49" t="n">
        <f aca="false">(1+Inputs!$B$64)^(2037-2029)</f>
        <v>1.19109693282429</v>
      </c>
      <c r="P6" s="49" t="n">
        <f aca="false">(1+Inputs!$B$64)^(2038-2029)</f>
        <v>1.21742017503971</v>
      </c>
      <c r="Q6" s="49" t="n">
        <f aca="false">(1+Inputs!$B$64)^(2039-2029)</f>
        <v>1.24432516090809</v>
      </c>
      <c r="R6" s="49" t="n">
        <f aca="false">(1+Inputs!$B$64)^(2040-2029)</f>
        <v>1.27182474696415</v>
      </c>
      <c r="S6" s="49" t="n">
        <f aca="false">(1+Inputs!$B$64)^(2041-2029)</f>
        <v>1.29993207387206</v>
      </c>
      <c r="T6" s="49" t="n">
        <f aca="false">(1+Inputs!$B$64)^(2042-2029)</f>
        <v>1.32866057270463</v>
      </c>
      <c r="U6" s="49" t="n">
        <f aca="false">(1+Inputs!$B$64)^(2043-2029)</f>
        <v>1.35802397136141</v>
      </c>
      <c r="V6" s="49" t="n">
        <f aca="false">(1+Inputs!$B$64)^(2044-2029)</f>
        <v>1.38803630112849</v>
      </c>
      <c r="W6" s="49" t="n">
        <f aca="false">(1+Inputs!$B$64)^(2045-2029)</f>
        <v>1.41871190338343</v>
      </c>
      <c r="X6" s="49" t="n">
        <f aca="false">(1+Inputs!$B$64)^(2046-2029)</f>
        <v>1.45006543644821</v>
      </c>
      <c r="Y6" s="49" t="n">
        <f aca="false">(1+Inputs!$B$64)^(2047-2029)</f>
        <v>1.48211188259371</v>
      </c>
      <c r="Z6" s="49" t="n">
        <f aca="false">(1+Inputs!$B$64)^(2048-2029)</f>
        <v>1.51486655519903</v>
      </c>
      <c r="AA6" s="49" t="n">
        <f aca="false">(1+Inputs!$B$64)^(2049-2029)</f>
        <v>1.54834510606893</v>
      </c>
      <c r="AB6" s="49" t="n">
        <f aca="false">(1+Inputs!$B$64)^(2050-2029)</f>
        <v>1.58256353291306</v>
      </c>
      <c r="AC6" s="49" t="n">
        <f aca="false">(1+Inputs!$B$64)^(2051-2029)</f>
        <v>1.61753818699044</v>
      </c>
      <c r="AD6" s="49" t="n">
        <f aca="false">(1+Inputs!$B$64)^(2052-2029)</f>
        <v>1.65328578092292</v>
      </c>
      <c r="AE6" s="49" t="n">
        <f aca="false">(1+Inputs!$B$64)^(2053-2029)</f>
        <v>1.68982339668132</v>
      </c>
      <c r="AF6" s="49" t="n">
        <f aca="false">(1+Inputs!$B$64)^(2054-2029)</f>
        <v>1.72716849374798</v>
      </c>
      <c r="AG6" s="49" t="n">
        <f aca="false">(1+Inputs!$B$64)^(2055-2029)</f>
        <v>1.76533891745981</v>
      </c>
      <c r="AH6" s="49" t="n">
        <f aca="false">(1+Inputs!$B$64)^(2056-2029)</f>
        <v>1.80435290753567</v>
      </c>
      <c r="AI6" s="49" t="n">
        <f aca="false">(1+Inputs!$B$64)^(2057-2029)</f>
        <v>1.84422910679221</v>
      </c>
      <c r="AJ6" s="49" t="n">
        <f aca="false">(1+Inputs!$B$64)^(2058-2029)</f>
        <v>1.88498657005232</v>
      </c>
      <c r="AK6" s="49" t="n">
        <f aca="false">(1+Inputs!$B$64)^(2059-2029)</f>
        <v>1.92664477325047</v>
      </c>
      <c r="AL6" s="49" t="n">
        <f aca="false">(1+Inputs!$B$64)^(2060-2029)</f>
        <v>1.96922362273931</v>
      </c>
      <c r="AM6" s="49" t="n">
        <f aca="false">(1+Inputs!$B$64)^(2061-2029)</f>
        <v>2.01274346480185</v>
      </c>
      <c r="AN6" s="49" t="n">
        <f aca="false">(1+Inputs!$B$64)^(2062-2029)</f>
        <v>2.05722509537397</v>
      </c>
      <c r="AO6" s="49" t="n">
        <f aca="false">(1+Inputs!$B$64)^(2063-2029)</f>
        <v>2.10268976998173</v>
      </c>
      <c r="AP6" s="49" t="n">
        <f aca="false">(1+Inputs!$B$64)^(2064-2029)</f>
        <v>2.14915921389833</v>
      </c>
      <c r="AQ6" s="49" t="n">
        <f aca="false">(1+Inputs!$B$64)^(2065-2029)</f>
        <v>2.19665563252548</v>
      </c>
      <c r="AR6" s="49" t="n">
        <f aca="false">(1+Inputs!$B$64)^(2066-2029)</f>
        <v>2.24520172200429</v>
      </c>
      <c r="AS6" s="49" t="n">
        <f aca="false">(1+Inputs!$B$64)^(2067-2029)</f>
        <v>2.29482068006059</v>
      </c>
      <c r="AT6" s="49" t="n">
        <f aca="false">(1+Inputs!$B$64)^(2068-2029)</f>
        <v>2.34553621708993</v>
      </c>
      <c r="AU6" s="49" t="n">
        <f aca="false">(1+Inputs!$B$64)^(2069-2029)</f>
        <v>2.39737256748762</v>
      </c>
      <c r="AV6" s="49" t="n">
        <f aca="false">(1+Inputs!$B$64)^(2070-2029)</f>
        <v>2.45035450122909</v>
      </c>
      <c r="AW6" s="49" t="n">
        <f aca="false">(1+Inputs!$B$64)^(2071-2029)</f>
        <v>2.50450733570625</v>
      </c>
      <c r="AX6" s="49" t="n">
        <f aca="false">(1+Inputs!$B$64)^(2072-2029)</f>
        <v>2.55985694782536</v>
      </c>
      <c r="AY6" s="49" t="n">
        <f aca="false">(1+Inputs!$B$64)^(2073-2029)</f>
        <v>2.6164297863723</v>
      </c>
      <c r="AZ6" s="49" t="n">
        <f aca="false">(1+Inputs!$B$64)^(2074-2029)</f>
        <v>2.67425288465113</v>
      </c>
    </row>
    <row r="7" customFormat="false" ht="15" hidden="false" customHeight="true" outlineLevel="0" collapsed="false">
      <c r="A7" s="13" t="s">
        <v>402</v>
      </c>
      <c r="B7" s="2"/>
      <c r="C7" s="2"/>
      <c r="D7" s="41" t="n">
        <f aca="false">Inputs!$B$57*365/12*(Inputs!$B$58*Inputs!$B$59*Inputs!$B$61+(12-Inputs!$B$58)*Inputs!$B$60*Inputs!$B$62)/Inputs!$B$63/1000000</f>
        <v>102.628896882494</v>
      </c>
      <c r="E7" s="41" t="n">
        <f aca="false">Inputs!$B$57*365/12*(Inputs!$B$58*Inputs!$B$59*Inputs!$B$61+(12-Inputs!$B$58)*Inputs!$B$60*Inputs!$B$62)/Inputs!$B$63/1000000</f>
        <v>102.628896882494</v>
      </c>
      <c r="F7" s="41" t="n">
        <f aca="false">Inputs!$B$57*365/12*(Inputs!$B$58*Inputs!$B$59*Inputs!$B$61+(12-Inputs!$B$58)*Inputs!$B$60*Inputs!$B$62)/Inputs!$B$63/1000000</f>
        <v>102.628896882494</v>
      </c>
      <c r="G7" s="41" t="n">
        <f aca="false">Inputs!$B$57*365/12*(Inputs!$B$58*Inputs!$B$59*Inputs!$B$61+(12-Inputs!$B$58)*Inputs!$B$60*Inputs!$B$62)/Inputs!$B$63/1000000</f>
        <v>102.628896882494</v>
      </c>
      <c r="H7" s="41" t="n">
        <f aca="false">Inputs!$B$57*365/12*(Inputs!$B$58*Inputs!$B$59*Inputs!$B$61+(12-Inputs!$B$58)*Inputs!$B$60*Inputs!$B$62)/Inputs!$B$63/1000000</f>
        <v>102.628896882494</v>
      </c>
      <c r="I7" s="41" t="n">
        <f aca="false">Inputs!$B$57*365/12*(Inputs!$B$58*Inputs!$B$59*Inputs!$B$61+(12-Inputs!$B$58)*Inputs!$B$60*Inputs!$B$62)/Inputs!$B$63/1000000</f>
        <v>102.628896882494</v>
      </c>
      <c r="J7" s="41" t="n">
        <f aca="false">Inputs!$B$57*365/12*(Inputs!$B$58*Inputs!$B$59*Inputs!$B$61+(12-Inputs!$B$58)*Inputs!$B$60*Inputs!$B$62)/Inputs!$B$63/1000000</f>
        <v>102.628896882494</v>
      </c>
      <c r="K7" s="41" t="n">
        <f aca="false">Inputs!$B$57*365/12*(Inputs!$B$58*Inputs!$B$59*Inputs!$B$61+(12-Inputs!$B$58)*Inputs!$B$60*Inputs!$B$62)/Inputs!$B$63/1000000</f>
        <v>102.628896882494</v>
      </c>
      <c r="L7" s="41" t="n">
        <f aca="false">Inputs!$B$57*365/12*(Inputs!$B$58*Inputs!$B$59*Inputs!$B$61+(12-Inputs!$B$58)*Inputs!$B$60*Inputs!$B$62)/Inputs!$B$63/1000000</f>
        <v>102.628896882494</v>
      </c>
      <c r="M7" s="41" t="n">
        <f aca="false">Inputs!$B$57*365/12*(Inputs!$B$58*Inputs!$B$59*Inputs!$B$61+(12-Inputs!$B$58)*Inputs!$B$60*Inputs!$B$62)/Inputs!$B$63/1000000</f>
        <v>102.628896882494</v>
      </c>
      <c r="N7" s="41" t="n">
        <f aca="false">Inputs!$B$57*365/12*(Inputs!$B$58*Inputs!$B$59*Inputs!$B$61+(12-Inputs!$B$58)*Inputs!$B$60*Inputs!$B$62)/Inputs!$B$63/1000000</f>
        <v>102.628896882494</v>
      </c>
      <c r="O7" s="41" t="n">
        <f aca="false">Inputs!$B$57*365/12*(Inputs!$B$58*Inputs!$B$59*Inputs!$B$61+(12-Inputs!$B$58)*Inputs!$B$60*Inputs!$B$62)/Inputs!$B$63/1000000</f>
        <v>102.628896882494</v>
      </c>
      <c r="P7" s="41" t="n">
        <f aca="false">Inputs!$B$57*365/12*(Inputs!$B$58*Inputs!$B$59*Inputs!$B$61+(12-Inputs!$B$58)*Inputs!$B$60*Inputs!$B$62)/Inputs!$B$63/1000000</f>
        <v>102.628896882494</v>
      </c>
      <c r="Q7" s="41" t="n">
        <f aca="false">Inputs!$B$57*365/12*(Inputs!$B$58*Inputs!$B$59*Inputs!$B$61+(12-Inputs!$B$58)*Inputs!$B$60*Inputs!$B$62)/Inputs!$B$63/1000000</f>
        <v>102.628896882494</v>
      </c>
      <c r="R7" s="41" t="n">
        <f aca="false">Inputs!$B$57*365/12*(Inputs!$B$58*Inputs!$B$59*Inputs!$B$61+(12-Inputs!$B$58)*Inputs!$B$60*Inputs!$B$62)/Inputs!$B$63/1000000</f>
        <v>102.628896882494</v>
      </c>
      <c r="S7" s="41" t="n">
        <f aca="false">Inputs!$B$57*365/12*(Inputs!$B$58*Inputs!$B$59*Inputs!$B$61+(12-Inputs!$B$58)*Inputs!$B$60*Inputs!$B$62)/Inputs!$B$63/1000000</f>
        <v>102.628896882494</v>
      </c>
      <c r="T7" s="41" t="n">
        <f aca="false">Inputs!$B$57*365/12*(Inputs!$B$58*Inputs!$B$59*Inputs!$B$61+(12-Inputs!$B$58)*Inputs!$B$60*Inputs!$B$62)/Inputs!$B$63/1000000</f>
        <v>102.628896882494</v>
      </c>
      <c r="U7" s="41" t="n">
        <f aca="false">Inputs!$B$57*365/12*(Inputs!$B$58*Inputs!$B$59*Inputs!$B$61+(12-Inputs!$B$58)*Inputs!$B$60*Inputs!$B$62)/Inputs!$B$63/1000000</f>
        <v>102.628896882494</v>
      </c>
      <c r="V7" s="41" t="n">
        <f aca="false">Inputs!$B$57*365/12*(Inputs!$B$58*Inputs!$B$59*Inputs!$B$61+(12-Inputs!$B$58)*Inputs!$B$60*Inputs!$B$62)/Inputs!$B$63/1000000</f>
        <v>102.628896882494</v>
      </c>
      <c r="W7" s="41" t="n">
        <f aca="false">Inputs!$B$57*365/12*(Inputs!$B$58*Inputs!$B$59*Inputs!$B$61+(12-Inputs!$B$58)*Inputs!$B$60*Inputs!$B$62)/Inputs!$B$63/1000000</f>
        <v>102.628896882494</v>
      </c>
      <c r="X7" s="41" t="n">
        <f aca="false">Inputs!$B$57*365/12*(Inputs!$B$58*Inputs!$B$59*Inputs!$B$61+(12-Inputs!$B$58)*Inputs!$B$60*Inputs!$B$62)/Inputs!$B$63/1000000</f>
        <v>102.628896882494</v>
      </c>
      <c r="Y7" s="41" t="n">
        <f aca="false">Inputs!$B$57*365/12*(Inputs!$B$58*Inputs!$B$59*Inputs!$B$61+(12-Inputs!$B$58)*Inputs!$B$60*Inputs!$B$62)/Inputs!$B$63/1000000</f>
        <v>102.628896882494</v>
      </c>
      <c r="Z7" s="41" t="n">
        <f aca="false">Inputs!$B$57*365/12*(Inputs!$B$58*Inputs!$B$59*Inputs!$B$61+(12-Inputs!$B$58)*Inputs!$B$60*Inputs!$B$62)/Inputs!$B$63/1000000</f>
        <v>102.628896882494</v>
      </c>
      <c r="AA7" s="41" t="n">
        <f aca="false">Inputs!$B$57*365/12*(Inputs!$B$58*Inputs!$B$59*Inputs!$B$61+(12-Inputs!$B$58)*Inputs!$B$60*Inputs!$B$62)/Inputs!$B$63/1000000</f>
        <v>102.628896882494</v>
      </c>
      <c r="AB7" s="41" t="n">
        <f aca="false">Inputs!$B$57*365/12*(Inputs!$B$58*Inputs!$B$59*Inputs!$B$61+(12-Inputs!$B$58)*Inputs!$B$60*Inputs!$B$62)/Inputs!$B$63/1000000</f>
        <v>102.628896882494</v>
      </c>
      <c r="AC7" s="41" t="n">
        <f aca="false">Inputs!$B$57*365/12*(Inputs!$B$58*Inputs!$B$59*Inputs!$B$61+(12-Inputs!$B$58)*Inputs!$B$60*Inputs!$B$62)/Inputs!$B$63/1000000</f>
        <v>102.628896882494</v>
      </c>
      <c r="AD7" s="41" t="n">
        <f aca="false">Inputs!$B$57*365/12*(Inputs!$B$58*Inputs!$B$59*Inputs!$B$61+(12-Inputs!$B$58)*Inputs!$B$60*Inputs!$B$62)/Inputs!$B$63/1000000</f>
        <v>102.628896882494</v>
      </c>
      <c r="AE7" s="41" t="n">
        <f aca="false">Inputs!$B$57*365/12*(Inputs!$B$58*Inputs!$B$59*Inputs!$B$61+(12-Inputs!$B$58)*Inputs!$B$60*Inputs!$B$62)/Inputs!$B$63/1000000</f>
        <v>102.628896882494</v>
      </c>
      <c r="AF7" s="41" t="n">
        <f aca="false">Inputs!$B$57*365/12*(Inputs!$B$58*Inputs!$B$59*Inputs!$B$61+(12-Inputs!$B$58)*Inputs!$B$60*Inputs!$B$62)/Inputs!$B$63/1000000</f>
        <v>102.628896882494</v>
      </c>
      <c r="AG7" s="41" t="n">
        <f aca="false">Inputs!$B$57*365/12*(Inputs!$B$58*Inputs!$B$59*Inputs!$B$61+(12-Inputs!$B$58)*Inputs!$B$60*Inputs!$B$62)/Inputs!$B$63/1000000</f>
        <v>102.628896882494</v>
      </c>
      <c r="AH7" s="41" t="n">
        <f aca="false">Inputs!$B$57*365/12*(Inputs!$B$58*Inputs!$B$59*Inputs!$B$61+(12-Inputs!$B$58)*Inputs!$B$60*Inputs!$B$62)/Inputs!$B$63/1000000</f>
        <v>102.628896882494</v>
      </c>
      <c r="AI7" s="41" t="n">
        <f aca="false">Inputs!$B$57*365/12*(Inputs!$B$58*Inputs!$B$59*Inputs!$B$61+(12-Inputs!$B$58)*Inputs!$B$60*Inputs!$B$62)/Inputs!$B$63/1000000</f>
        <v>102.628896882494</v>
      </c>
      <c r="AJ7" s="41" t="n">
        <f aca="false">Inputs!$B$57*365/12*(Inputs!$B$58*Inputs!$B$59*Inputs!$B$61+(12-Inputs!$B$58)*Inputs!$B$60*Inputs!$B$62)/Inputs!$B$63/1000000</f>
        <v>102.628896882494</v>
      </c>
      <c r="AK7" s="41" t="n">
        <f aca="false">Inputs!$B$57*365/12*(Inputs!$B$58*Inputs!$B$59*Inputs!$B$61+(12-Inputs!$B$58)*Inputs!$B$60*Inputs!$B$62)/Inputs!$B$63/1000000</f>
        <v>102.628896882494</v>
      </c>
      <c r="AL7" s="41" t="n">
        <f aca="false">Inputs!$B$57*365/12*(Inputs!$B$58*Inputs!$B$59*Inputs!$B$61+(12-Inputs!$B$58)*Inputs!$B$60*Inputs!$B$62)/Inputs!$B$63/1000000</f>
        <v>102.628896882494</v>
      </c>
      <c r="AM7" s="41" t="n">
        <f aca="false">Inputs!$B$57*365/12*(Inputs!$B$58*Inputs!$B$59*Inputs!$B$61+(12-Inputs!$B$58)*Inputs!$B$60*Inputs!$B$62)/Inputs!$B$63/1000000</f>
        <v>102.628896882494</v>
      </c>
      <c r="AN7" s="41" t="n">
        <f aca="false">Inputs!$B$57*365/12*(Inputs!$B$58*Inputs!$B$59*Inputs!$B$61+(12-Inputs!$B$58)*Inputs!$B$60*Inputs!$B$62)/Inputs!$B$63/1000000</f>
        <v>102.628896882494</v>
      </c>
      <c r="AO7" s="41" t="n">
        <f aca="false">Inputs!$B$57*365/12*(Inputs!$B$58*Inputs!$B$59*Inputs!$B$61+(12-Inputs!$B$58)*Inputs!$B$60*Inputs!$B$62)/Inputs!$B$63/1000000</f>
        <v>102.628896882494</v>
      </c>
      <c r="AP7" s="41" t="n">
        <f aca="false">Inputs!$B$57*365/12*(Inputs!$B$58*Inputs!$B$59*Inputs!$B$61+(12-Inputs!$B$58)*Inputs!$B$60*Inputs!$B$62)/Inputs!$B$63/1000000</f>
        <v>102.628896882494</v>
      </c>
      <c r="AQ7" s="41" t="n">
        <f aca="false">Inputs!$B$57*365/12*(Inputs!$B$58*Inputs!$B$59*Inputs!$B$61+(12-Inputs!$B$58)*Inputs!$B$60*Inputs!$B$62)/Inputs!$B$63/1000000</f>
        <v>102.628896882494</v>
      </c>
      <c r="AR7" s="41" t="n">
        <f aca="false">Inputs!$B$57*365/12*(Inputs!$B$58*Inputs!$B$59*Inputs!$B$61+(12-Inputs!$B$58)*Inputs!$B$60*Inputs!$B$62)/Inputs!$B$63/1000000</f>
        <v>102.628896882494</v>
      </c>
      <c r="AS7" s="41" t="n">
        <f aca="false">Inputs!$B$57*365/12*(Inputs!$B$58*Inputs!$B$59*Inputs!$B$61+(12-Inputs!$B$58)*Inputs!$B$60*Inputs!$B$62)/Inputs!$B$63/1000000</f>
        <v>102.628896882494</v>
      </c>
      <c r="AT7" s="41" t="n">
        <f aca="false">Inputs!$B$57*365/12*(Inputs!$B$58*Inputs!$B$59*Inputs!$B$61+(12-Inputs!$B$58)*Inputs!$B$60*Inputs!$B$62)/Inputs!$B$63/1000000</f>
        <v>102.628896882494</v>
      </c>
      <c r="AU7" s="41" t="n">
        <f aca="false">Inputs!$B$57*365/12*(Inputs!$B$58*Inputs!$B$59*Inputs!$B$61+(12-Inputs!$B$58)*Inputs!$B$60*Inputs!$B$62)/Inputs!$B$63/1000000</f>
        <v>102.628896882494</v>
      </c>
      <c r="AV7" s="41" t="n">
        <f aca="false">Inputs!$B$57*365/12*(Inputs!$B$58*Inputs!$B$59*Inputs!$B$61+(12-Inputs!$B$58)*Inputs!$B$60*Inputs!$B$62)/Inputs!$B$63/1000000</f>
        <v>102.628896882494</v>
      </c>
      <c r="AW7" s="41" t="n">
        <f aca="false">Inputs!$B$57*365/12*(Inputs!$B$58*Inputs!$B$59*Inputs!$B$61+(12-Inputs!$B$58)*Inputs!$B$60*Inputs!$B$62)/Inputs!$B$63/1000000</f>
        <v>102.628896882494</v>
      </c>
      <c r="AX7" s="41" t="n">
        <f aca="false">Inputs!$B$57*365/12*(Inputs!$B$58*Inputs!$B$59*Inputs!$B$61+(12-Inputs!$B$58)*Inputs!$B$60*Inputs!$B$62)/Inputs!$B$63/1000000</f>
        <v>102.628896882494</v>
      </c>
      <c r="AY7" s="41" t="n">
        <f aca="false">Inputs!$B$57*365/12*(Inputs!$B$58*Inputs!$B$59*Inputs!$B$61+(12-Inputs!$B$58)*Inputs!$B$60*Inputs!$B$62)/Inputs!$B$63/1000000</f>
        <v>102.628896882494</v>
      </c>
      <c r="AZ7" s="41" t="n">
        <f aca="false">Inputs!$B$57*365/12*(Inputs!$B$58*Inputs!$B$59*Inputs!$B$61+(12-Inputs!$B$58)*Inputs!$B$60*Inputs!$B$62)/Inputs!$B$63/1000000</f>
        <v>102.628896882494</v>
      </c>
    </row>
    <row r="8" customFormat="false" ht="15" hidden="false" customHeight="true" outlineLevel="0" collapsed="false">
      <c r="A8" s="13" t="s">
        <v>403</v>
      </c>
      <c r="B8" s="2"/>
      <c r="C8" s="2"/>
      <c r="D8" s="49" t="n">
        <f aca="false">IF((2026-Inputs!$B$53-Inputs!$B$9)&lt;0,0,IF((2026-Inputs!$B$53-Inputs!$B$9)=0,Inputs!$B$54*Inputs!$B$65,IF((2026-Inputs!$B$53-Inputs!$B$9)=1,Inputs!$B$66,1)))</f>
        <v>0</v>
      </c>
      <c r="E8" s="49" t="n">
        <f aca="false">IF((2027-Inputs!$B$53-Inputs!$B$9)&lt;0,0,IF((2027-Inputs!$B$53-Inputs!$B$9)=0,Inputs!$B$54*Inputs!$B$65,IF((2027-Inputs!$B$53-Inputs!$B$9)=1,Inputs!$B$66,1)))</f>
        <v>0</v>
      </c>
      <c r="F8" s="49" t="n">
        <f aca="false">IF((2028-Inputs!$B$53-Inputs!$B$9)&lt;0,0,IF((2028-Inputs!$B$53-Inputs!$B$9)=0,Inputs!$B$54*Inputs!$B$65,IF((2028-Inputs!$B$53-Inputs!$B$9)=1,Inputs!$B$66,1)))</f>
        <v>0</v>
      </c>
      <c r="G8" s="49" t="n">
        <f aca="false">IF((2029-Inputs!$B$53-Inputs!$B$9)&lt;0,0,IF((2029-Inputs!$B$53-Inputs!$B$9)=0,Inputs!$B$54*Inputs!$B$65,IF((2029-Inputs!$B$53-Inputs!$B$9)=1,Inputs!$B$66,1)))</f>
        <v>0.4525</v>
      </c>
      <c r="H8" s="49" t="n">
        <f aca="false">IF((2030-Inputs!$B$53-Inputs!$B$9)&lt;0,0,IF((2030-Inputs!$B$53-Inputs!$B$9)=0,Inputs!$B$54*Inputs!$B$65,IF((2030-Inputs!$B$53-Inputs!$B$9)=1,Inputs!$B$66,1)))</f>
        <v>0.952</v>
      </c>
      <c r="I8" s="49" t="n">
        <f aca="false">IF((2031-Inputs!$B$53-Inputs!$B$9)&lt;0,0,IF((2031-Inputs!$B$53-Inputs!$B$9)=0,Inputs!$B$54*Inputs!$B$65,IF((2031-Inputs!$B$53-Inputs!$B$9)=1,Inputs!$B$66,1)))</f>
        <v>1</v>
      </c>
      <c r="J8" s="49" t="n">
        <f aca="false">IF((2032-Inputs!$B$53-Inputs!$B$9)&lt;0,0,IF((2032-Inputs!$B$53-Inputs!$B$9)=0,Inputs!$B$54*Inputs!$B$65,IF((2032-Inputs!$B$53-Inputs!$B$9)=1,Inputs!$B$66,1)))</f>
        <v>1</v>
      </c>
      <c r="K8" s="49" t="n">
        <f aca="false">IF((2033-Inputs!$B$53-Inputs!$B$9)&lt;0,0,IF((2033-Inputs!$B$53-Inputs!$B$9)=0,Inputs!$B$54*Inputs!$B$65,IF((2033-Inputs!$B$53-Inputs!$B$9)=1,Inputs!$B$66,1)))</f>
        <v>1</v>
      </c>
      <c r="L8" s="49" t="n">
        <f aca="false">IF((2034-Inputs!$B$53-Inputs!$B$9)&lt;0,0,IF((2034-Inputs!$B$53-Inputs!$B$9)=0,Inputs!$B$54*Inputs!$B$65,IF((2034-Inputs!$B$53-Inputs!$B$9)=1,Inputs!$B$66,1)))</f>
        <v>1</v>
      </c>
      <c r="M8" s="49" t="n">
        <f aca="false">IF((2035-Inputs!$B$53-Inputs!$B$9)&lt;0,0,IF((2035-Inputs!$B$53-Inputs!$B$9)=0,Inputs!$B$54*Inputs!$B$65,IF((2035-Inputs!$B$53-Inputs!$B$9)=1,Inputs!$B$66,1)))</f>
        <v>1</v>
      </c>
      <c r="N8" s="49" t="n">
        <f aca="false">IF((2036-Inputs!$B$53-Inputs!$B$9)&lt;0,0,IF((2036-Inputs!$B$53-Inputs!$B$9)=0,Inputs!$B$54*Inputs!$B$65,IF((2036-Inputs!$B$53-Inputs!$B$9)=1,Inputs!$B$66,1)))</f>
        <v>1</v>
      </c>
      <c r="O8" s="49" t="n">
        <f aca="false">IF((2037-Inputs!$B$53-Inputs!$B$9)&lt;0,0,IF((2037-Inputs!$B$53-Inputs!$B$9)=0,Inputs!$B$54*Inputs!$B$65,IF((2037-Inputs!$B$53-Inputs!$B$9)=1,Inputs!$B$66,1)))</f>
        <v>1</v>
      </c>
      <c r="P8" s="49" t="n">
        <f aca="false">IF((2038-Inputs!$B$53-Inputs!$B$9)&lt;0,0,IF((2038-Inputs!$B$53-Inputs!$B$9)=0,Inputs!$B$54*Inputs!$B$65,IF((2038-Inputs!$B$53-Inputs!$B$9)=1,Inputs!$B$66,1)))</f>
        <v>1</v>
      </c>
      <c r="Q8" s="49" t="n">
        <f aca="false">IF((2039-Inputs!$B$53-Inputs!$B$9)&lt;0,0,IF((2039-Inputs!$B$53-Inputs!$B$9)=0,Inputs!$B$54*Inputs!$B$65,IF((2039-Inputs!$B$53-Inputs!$B$9)=1,Inputs!$B$66,1)))</f>
        <v>1</v>
      </c>
      <c r="R8" s="49" t="n">
        <f aca="false">IF((2040-Inputs!$B$53-Inputs!$B$9)&lt;0,0,IF((2040-Inputs!$B$53-Inputs!$B$9)=0,Inputs!$B$54*Inputs!$B$65,IF((2040-Inputs!$B$53-Inputs!$B$9)=1,Inputs!$B$66,1)))</f>
        <v>1</v>
      </c>
      <c r="S8" s="49" t="n">
        <f aca="false">IF((2041-Inputs!$B$53-Inputs!$B$9)&lt;0,0,IF((2041-Inputs!$B$53-Inputs!$B$9)=0,Inputs!$B$54*Inputs!$B$65,IF((2041-Inputs!$B$53-Inputs!$B$9)=1,Inputs!$B$66,1)))</f>
        <v>1</v>
      </c>
      <c r="T8" s="49" t="n">
        <f aca="false">IF((2042-Inputs!$B$53-Inputs!$B$9)&lt;0,0,IF((2042-Inputs!$B$53-Inputs!$B$9)=0,Inputs!$B$54*Inputs!$B$65,IF((2042-Inputs!$B$53-Inputs!$B$9)=1,Inputs!$B$66,1)))</f>
        <v>1</v>
      </c>
      <c r="U8" s="49" t="n">
        <f aca="false">IF((2043-Inputs!$B$53-Inputs!$B$9)&lt;0,0,IF((2043-Inputs!$B$53-Inputs!$B$9)=0,Inputs!$B$54*Inputs!$B$65,IF((2043-Inputs!$B$53-Inputs!$B$9)=1,Inputs!$B$66,1)))</f>
        <v>1</v>
      </c>
      <c r="V8" s="49" t="n">
        <f aca="false">IF((2044-Inputs!$B$53-Inputs!$B$9)&lt;0,0,IF((2044-Inputs!$B$53-Inputs!$B$9)=0,Inputs!$B$54*Inputs!$B$65,IF((2044-Inputs!$B$53-Inputs!$B$9)=1,Inputs!$B$66,1)))</f>
        <v>1</v>
      </c>
      <c r="W8" s="49" t="n">
        <f aca="false">IF((2045-Inputs!$B$53-Inputs!$B$9)&lt;0,0,IF((2045-Inputs!$B$53-Inputs!$B$9)=0,Inputs!$B$54*Inputs!$B$65,IF((2045-Inputs!$B$53-Inputs!$B$9)=1,Inputs!$B$66,1)))</f>
        <v>1</v>
      </c>
      <c r="X8" s="49" t="n">
        <f aca="false">IF((2046-Inputs!$B$53-Inputs!$B$9)&lt;0,0,IF((2046-Inputs!$B$53-Inputs!$B$9)=0,Inputs!$B$54*Inputs!$B$65,IF((2046-Inputs!$B$53-Inputs!$B$9)=1,Inputs!$B$66,1)))</f>
        <v>1</v>
      </c>
      <c r="Y8" s="49" t="n">
        <f aca="false">IF((2047-Inputs!$B$53-Inputs!$B$9)&lt;0,0,IF((2047-Inputs!$B$53-Inputs!$B$9)=0,Inputs!$B$54*Inputs!$B$65,IF((2047-Inputs!$B$53-Inputs!$B$9)=1,Inputs!$B$66,1)))</f>
        <v>1</v>
      </c>
      <c r="Z8" s="49" t="n">
        <f aca="false">IF((2048-Inputs!$B$53-Inputs!$B$9)&lt;0,0,IF((2048-Inputs!$B$53-Inputs!$B$9)=0,Inputs!$B$54*Inputs!$B$65,IF((2048-Inputs!$B$53-Inputs!$B$9)=1,Inputs!$B$66,1)))</f>
        <v>1</v>
      </c>
      <c r="AA8" s="49" t="n">
        <f aca="false">IF((2049-Inputs!$B$53-Inputs!$B$9)&lt;0,0,IF((2049-Inputs!$B$53-Inputs!$B$9)=0,Inputs!$B$54*Inputs!$B$65,IF((2049-Inputs!$B$53-Inputs!$B$9)=1,Inputs!$B$66,1)))</f>
        <v>1</v>
      </c>
      <c r="AB8" s="49" t="n">
        <f aca="false">IF((2050-Inputs!$B$53-Inputs!$B$9)&lt;0,0,IF((2050-Inputs!$B$53-Inputs!$B$9)=0,Inputs!$B$54*Inputs!$B$65,IF((2050-Inputs!$B$53-Inputs!$B$9)=1,Inputs!$B$66,1)))</f>
        <v>1</v>
      </c>
      <c r="AC8" s="49" t="n">
        <f aca="false">IF((2051-Inputs!$B$53-Inputs!$B$9)&lt;0,0,IF((2051-Inputs!$B$53-Inputs!$B$9)=0,Inputs!$B$54*Inputs!$B$65,IF((2051-Inputs!$B$53-Inputs!$B$9)=1,Inputs!$B$66,1)))</f>
        <v>1</v>
      </c>
      <c r="AD8" s="49" t="n">
        <f aca="false">IF((2052-Inputs!$B$53-Inputs!$B$9)&lt;0,0,IF((2052-Inputs!$B$53-Inputs!$B$9)=0,Inputs!$B$54*Inputs!$B$65,IF((2052-Inputs!$B$53-Inputs!$B$9)=1,Inputs!$B$66,1)))</f>
        <v>1</v>
      </c>
      <c r="AE8" s="49" t="n">
        <f aca="false">IF((2053-Inputs!$B$53-Inputs!$B$9)&lt;0,0,IF((2053-Inputs!$B$53-Inputs!$B$9)=0,Inputs!$B$54*Inputs!$B$65,IF((2053-Inputs!$B$53-Inputs!$B$9)=1,Inputs!$B$66,1)))</f>
        <v>1</v>
      </c>
      <c r="AF8" s="49" t="n">
        <f aca="false">IF((2054-Inputs!$B$53-Inputs!$B$9)&lt;0,0,IF((2054-Inputs!$B$53-Inputs!$B$9)=0,Inputs!$B$54*Inputs!$B$65,IF((2054-Inputs!$B$53-Inputs!$B$9)=1,Inputs!$B$66,1)))</f>
        <v>1</v>
      </c>
      <c r="AG8" s="49" t="n">
        <f aca="false">IF((2055-Inputs!$B$53-Inputs!$B$9)&lt;0,0,IF((2055-Inputs!$B$53-Inputs!$B$9)=0,Inputs!$B$54*Inputs!$B$65,IF((2055-Inputs!$B$53-Inputs!$B$9)=1,Inputs!$B$66,1)))</f>
        <v>1</v>
      </c>
      <c r="AH8" s="49" t="n">
        <f aca="false">IF((2056-Inputs!$B$53-Inputs!$B$9)&lt;0,0,IF((2056-Inputs!$B$53-Inputs!$B$9)=0,Inputs!$B$54*Inputs!$B$65,IF((2056-Inputs!$B$53-Inputs!$B$9)=1,Inputs!$B$66,1)))</f>
        <v>1</v>
      </c>
      <c r="AI8" s="49" t="n">
        <f aca="false">IF((2057-Inputs!$B$53-Inputs!$B$9)&lt;0,0,IF((2057-Inputs!$B$53-Inputs!$B$9)=0,Inputs!$B$54*Inputs!$B$65,IF((2057-Inputs!$B$53-Inputs!$B$9)=1,Inputs!$B$66,1)))</f>
        <v>1</v>
      </c>
      <c r="AJ8" s="49" t="n">
        <f aca="false">IF((2058-Inputs!$B$53-Inputs!$B$9)&lt;0,0,IF((2058-Inputs!$B$53-Inputs!$B$9)=0,Inputs!$B$54*Inputs!$B$65,IF((2058-Inputs!$B$53-Inputs!$B$9)=1,Inputs!$B$66,1)))</f>
        <v>1</v>
      </c>
      <c r="AK8" s="49" t="n">
        <f aca="false">IF((2059-Inputs!$B$53-Inputs!$B$9)&lt;0,0,IF((2059-Inputs!$B$53-Inputs!$B$9)=0,Inputs!$B$54*Inputs!$B$65,IF((2059-Inputs!$B$53-Inputs!$B$9)=1,Inputs!$B$66,1)))</f>
        <v>1</v>
      </c>
      <c r="AL8" s="49" t="n">
        <f aca="false">IF((2060-Inputs!$B$53-Inputs!$B$9)&lt;0,0,IF((2060-Inputs!$B$53-Inputs!$B$9)=0,Inputs!$B$54*Inputs!$B$65,IF((2060-Inputs!$B$53-Inputs!$B$9)=1,Inputs!$B$66,1)))</f>
        <v>1</v>
      </c>
      <c r="AM8" s="49" t="n">
        <f aca="false">IF((2061-Inputs!$B$53-Inputs!$B$9)&lt;0,0,IF((2061-Inputs!$B$53-Inputs!$B$9)=0,Inputs!$B$54*Inputs!$B$65,IF((2061-Inputs!$B$53-Inputs!$B$9)=1,Inputs!$B$66,1)))</f>
        <v>1</v>
      </c>
      <c r="AN8" s="49" t="n">
        <f aca="false">IF((2062-Inputs!$B$53-Inputs!$B$9)&lt;0,0,IF((2062-Inputs!$B$53-Inputs!$B$9)=0,Inputs!$B$54*Inputs!$B$65,IF((2062-Inputs!$B$53-Inputs!$B$9)=1,Inputs!$B$66,1)))</f>
        <v>1</v>
      </c>
      <c r="AO8" s="49" t="n">
        <f aca="false">IF((2063-Inputs!$B$53-Inputs!$B$9)&lt;0,0,IF((2063-Inputs!$B$53-Inputs!$B$9)=0,Inputs!$B$54*Inputs!$B$65,IF((2063-Inputs!$B$53-Inputs!$B$9)=1,Inputs!$B$66,1)))</f>
        <v>1</v>
      </c>
      <c r="AP8" s="49" t="n">
        <f aca="false">IF((2064-Inputs!$B$53-Inputs!$B$9)&lt;0,0,IF((2064-Inputs!$B$53-Inputs!$B$9)=0,Inputs!$B$54*Inputs!$B$65,IF((2064-Inputs!$B$53-Inputs!$B$9)=1,Inputs!$B$66,1)))</f>
        <v>1</v>
      </c>
      <c r="AQ8" s="49" t="n">
        <f aca="false">IF((2065-Inputs!$B$53-Inputs!$B$9)&lt;0,0,IF((2065-Inputs!$B$53-Inputs!$B$9)=0,Inputs!$B$54*Inputs!$B$65,IF((2065-Inputs!$B$53-Inputs!$B$9)=1,Inputs!$B$66,1)))</f>
        <v>1</v>
      </c>
      <c r="AR8" s="49" t="n">
        <f aca="false">IF((2066-Inputs!$B$53-Inputs!$B$9)&lt;0,0,IF((2066-Inputs!$B$53-Inputs!$B$9)=0,Inputs!$B$54*Inputs!$B$65,IF((2066-Inputs!$B$53-Inputs!$B$9)=1,Inputs!$B$66,1)))</f>
        <v>1</v>
      </c>
      <c r="AS8" s="49" t="n">
        <f aca="false">IF((2067-Inputs!$B$53-Inputs!$B$9)&lt;0,0,IF((2067-Inputs!$B$53-Inputs!$B$9)=0,Inputs!$B$54*Inputs!$B$65,IF((2067-Inputs!$B$53-Inputs!$B$9)=1,Inputs!$B$66,1)))</f>
        <v>1</v>
      </c>
      <c r="AT8" s="49" t="n">
        <f aca="false">IF((2068-Inputs!$B$53-Inputs!$B$9)&lt;0,0,IF((2068-Inputs!$B$53-Inputs!$B$9)=0,Inputs!$B$54*Inputs!$B$65,IF((2068-Inputs!$B$53-Inputs!$B$9)=1,Inputs!$B$66,1)))</f>
        <v>1</v>
      </c>
      <c r="AU8" s="49" t="n">
        <f aca="false">IF((2069-Inputs!$B$53-Inputs!$B$9)&lt;0,0,IF((2069-Inputs!$B$53-Inputs!$B$9)=0,Inputs!$B$54*Inputs!$B$65,IF((2069-Inputs!$B$53-Inputs!$B$9)=1,Inputs!$B$66,1)))</f>
        <v>1</v>
      </c>
      <c r="AV8" s="49" t="n">
        <f aca="false">IF((2070-Inputs!$B$53-Inputs!$B$9)&lt;0,0,IF((2070-Inputs!$B$53-Inputs!$B$9)=0,Inputs!$B$54*Inputs!$B$65,IF((2070-Inputs!$B$53-Inputs!$B$9)=1,Inputs!$B$66,1)))</f>
        <v>1</v>
      </c>
      <c r="AW8" s="49" t="n">
        <f aca="false">IF((2071-Inputs!$B$53-Inputs!$B$9)&lt;0,0,IF((2071-Inputs!$B$53-Inputs!$B$9)=0,Inputs!$B$54*Inputs!$B$65,IF((2071-Inputs!$B$53-Inputs!$B$9)=1,Inputs!$B$66,1)))</f>
        <v>1</v>
      </c>
      <c r="AX8" s="49" t="n">
        <f aca="false">IF((2072-Inputs!$B$53-Inputs!$B$9)&lt;0,0,IF((2072-Inputs!$B$53-Inputs!$B$9)=0,Inputs!$B$54*Inputs!$B$65,IF((2072-Inputs!$B$53-Inputs!$B$9)=1,Inputs!$B$66,1)))</f>
        <v>1</v>
      </c>
      <c r="AY8" s="49" t="n">
        <f aca="false">IF((2073-Inputs!$B$53-Inputs!$B$9)&lt;0,0,IF((2073-Inputs!$B$53-Inputs!$B$9)=0,Inputs!$B$54*Inputs!$B$65,IF((2073-Inputs!$B$53-Inputs!$B$9)=1,Inputs!$B$66,1)))</f>
        <v>1</v>
      </c>
      <c r="AZ8" s="49" t="n">
        <f aca="false">IF((2074-Inputs!$B$53-Inputs!$B$9)&lt;0,0,IF((2074-Inputs!$B$53-Inputs!$B$9)=0,Inputs!$B$54*Inputs!$B$65,IF((2074-Inputs!$B$53-Inputs!$B$9)=1,Inputs!$B$66,1)))</f>
        <v>1</v>
      </c>
    </row>
    <row r="9" customFormat="false" ht="15" hidden="false" customHeight="true" outlineLevel="0" collapsed="false">
      <c r="A9" s="6" t="s">
        <v>404</v>
      </c>
      <c r="B9" s="2"/>
      <c r="C9" s="21" t="n">
        <f aca="false">SUM(D9:AZ9)</f>
        <v>7988.19625368114</v>
      </c>
      <c r="D9" s="21" t="n">
        <f aca="false">D7*D6*D8*Inputs!$B$6*Inputs!$B$200</f>
        <v>0</v>
      </c>
      <c r="E9" s="21" t="n">
        <f aca="false">E7*E6*E8*Inputs!$B$6*Inputs!$B$200</f>
        <v>0</v>
      </c>
      <c r="F9" s="21" t="n">
        <f aca="false">F7*F6*F8*Inputs!$B$6*Inputs!$B$200</f>
        <v>0</v>
      </c>
      <c r="G9" s="21" t="n">
        <f aca="false">G7*G6*G8*Inputs!$B$6*Inputs!$B$200</f>
        <v>46.4395758393285</v>
      </c>
      <c r="H9" s="21" t="n">
        <f aca="false">H7*H6*H8*Inputs!$B$6*Inputs!$B$200</f>
        <v>99.8619397194245</v>
      </c>
      <c r="I9" s="21" t="n">
        <f aca="false">I7*I6*I8*Inputs!$B$6*Inputs!$B$200</f>
        <v>107.215219104227</v>
      </c>
      <c r="J9" s="21" t="n">
        <f aca="false">J7*J6*J8*Inputs!$B$6*Inputs!$B$200</f>
        <v>109.58467544643</v>
      </c>
      <c r="K9" s="21" t="n">
        <f aca="false">K7*K6*K8*Inputs!$B$6*Inputs!$B$200</f>
        <v>112.006496773796</v>
      </c>
      <c r="L9" s="21" t="n">
        <f aca="false">L7*L6*L8*Inputs!$B$6*Inputs!$B$200</f>
        <v>114.481840352497</v>
      </c>
      <c r="M9" s="21" t="n">
        <f aca="false">M7*M6*M8*Inputs!$B$6*Inputs!$B$200</f>
        <v>117.011889024287</v>
      </c>
      <c r="N9" s="21" t="n">
        <f aca="false">N7*N6*N8*Inputs!$B$6*Inputs!$B$200</f>
        <v>119.597851771724</v>
      </c>
      <c r="O9" s="21" t="n">
        <f aca="false">O7*O6*O8*Inputs!$B$6*Inputs!$B$200</f>
        <v>122.240964295879</v>
      </c>
      <c r="P9" s="21" t="n">
        <f aca="false">P7*P6*P8*Inputs!$B$6*Inputs!$B$200</f>
        <v>124.942489606818</v>
      </c>
      <c r="Q9" s="21" t="n">
        <f aca="false">Q7*Q6*Q8*Inputs!$B$6*Inputs!$B$200</f>
        <v>127.703718627129</v>
      </c>
      <c r="R9" s="21" t="n">
        <f aca="false">R7*R6*R8*Inputs!$B$6*Inputs!$B$200</f>
        <v>130.525970808788</v>
      </c>
      <c r="S9" s="21" t="n">
        <f aca="false">S7*S6*S8*Inputs!$B$6*Inputs!$B$200</f>
        <v>133.410594763662</v>
      </c>
      <c r="T9" s="21" t="n">
        <f aca="false">T7*T6*T8*Inputs!$B$6*Inputs!$B$200</f>
        <v>136.358968907939</v>
      </c>
      <c r="U9" s="21" t="n">
        <f aca="false">U7*U6*U8*Inputs!$B$6*Inputs!$B$200</f>
        <v>139.372502120805</v>
      </c>
      <c r="V9" s="21" t="n">
        <f aca="false">V7*V6*V8*Inputs!$B$6*Inputs!$B$200</f>
        <v>142.452634417675</v>
      </c>
      <c r="W9" s="21" t="n">
        <f aca="false">W7*W6*W8*Inputs!$B$6*Inputs!$B$200</f>
        <v>145.600837638305</v>
      </c>
      <c r="X9" s="21" t="n">
        <f aca="false">X7*X6*X8*Inputs!$B$6*Inputs!$B$200</f>
        <v>148.818616150112</v>
      </c>
      <c r="Y9" s="21" t="n">
        <f aca="false">Y7*Y6*Y8*Inputs!$B$6*Inputs!$B$200</f>
        <v>152.107507567029</v>
      </c>
      <c r="Z9" s="21" t="n">
        <f aca="false">Z7*Z6*Z8*Inputs!$B$6*Inputs!$B$200</f>
        <v>155.469083484261</v>
      </c>
      <c r="AA9" s="21" t="n">
        <f aca="false">AA7*AA6*AA8*Inputs!$B$6*Inputs!$B$200</f>
        <v>158.904950229263</v>
      </c>
      <c r="AB9" s="21" t="n">
        <f aca="false">AB7*AB6*AB8*Inputs!$B$6*Inputs!$B$200</f>
        <v>162.416749629329</v>
      </c>
      <c r="AC9" s="21" t="n">
        <f aca="false">AC7*AC6*AC8*Inputs!$B$6*Inputs!$B$200</f>
        <v>166.006159796138</v>
      </c>
      <c r="AD9" s="21" t="n">
        <f aca="false">AD7*AD6*AD8*Inputs!$B$6*Inputs!$B$200</f>
        <v>169.674895927632</v>
      </c>
      <c r="AE9" s="21" t="n">
        <f aca="false">AE7*AE6*AE8*Inputs!$B$6*Inputs!$B$200</f>
        <v>173.424711127633</v>
      </c>
      <c r="AF9" s="21" t="n">
        <f aca="false">AF7*AF6*AF8*Inputs!$B$6*Inputs!$B$200</f>
        <v>177.257397243554</v>
      </c>
      <c r="AG9" s="21" t="n">
        <f aca="false">AG7*AG6*AG8*Inputs!$B$6*Inputs!$B$200</f>
        <v>181.174785722636</v>
      </c>
      <c r="AH9" s="21" t="n">
        <f aca="false">AH7*AH6*AH8*Inputs!$B$6*Inputs!$B$200</f>
        <v>185.178748487106</v>
      </c>
      <c r="AI9" s="21" t="n">
        <f aca="false">AI7*AI6*AI8*Inputs!$B$6*Inputs!$B$200</f>
        <v>189.271198828672</v>
      </c>
      <c r="AJ9" s="21" t="n">
        <f aca="false">AJ7*AJ6*AJ8*Inputs!$B$6*Inputs!$B$200</f>
        <v>193.454092322785</v>
      </c>
      <c r="AK9" s="21" t="n">
        <f aca="false">AK7*AK6*AK8*Inputs!$B$6*Inputs!$B$200</f>
        <v>197.729427763119</v>
      </c>
      <c r="AL9" s="21" t="n">
        <f aca="false">AL7*AL6*AL8*Inputs!$B$6*Inputs!$B$200</f>
        <v>202.099248116684</v>
      </c>
      <c r="AM9" s="21" t="n">
        <f aca="false">AM7*AM6*AM8*Inputs!$B$6*Inputs!$B$200</f>
        <v>206.565641500062</v>
      </c>
      <c r="AN9" s="21" t="n">
        <f aca="false">AN7*AN6*AN8*Inputs!$B$6*Inputs!$B$200</f>
        <v>211.130742177214</v>
      </c>
      <c r="AO9" s="21" t="n">
        <f aca="false">AO7*AO6*AO8*Inputs!$B$6*Inputs!$B$200</f>
        <v>215.79673157933</v>
      </c>
      <c r="AP9" s="21" t="n">
        <f aca="false">AP7*AP6*AP8*Inputs!$B$6*Inputs!$B$200</f>
        <v>220.565839347233</v>
      </c>
      <c r="AQ9" s="21" t="n">
        <f aca="false">AQ7*AQ6*AQ8*Inputs!$B$6*Inputs!$B$200</f>
        <v>225.440344396807</v>
      </c>
      <c r="AR9" s="21" t="n">
        <f aca="false">AR7*AR6*AR8*Inputs!$B$6*Inputs!$B$200</f>
        <v>230.422576007977</v>
      </c>
      <c r="AS9" s="21" t="n">
        <f aca="false">AS7*AS6*AS8*Inputs!$B$6*Inputs!$B$200</f>
        <v>235.514914937753</v>
      </c>
      <c r="AT9" s="21" t="n">
        <f aca="false">AT7*AT6*AT8*Inputs!$B$6*Inputs!$B$200</f>
        <v>240.719794557877</v>
      </c>
      <c r="AU9" s="21" t="n">
        <f aca="false">AU7*AU6*AU8*Inputs!$B$6*Inputs!$B$200</f>
        <v>246.039702017606</v>
      </c>
      <c r="AV9" s="21" t="n">
        <f aca="false">AV7*AV6*AV8*Inputs!$B$6*Inputs!$B$200</f>
        <v>251.477179432195</v>
      </c>
      <c r="AW9" s="21" t="n">
        <f aca="false">AW7*AW6*AW8*Inputs!$B$6*Inputs!$B$200</f>
        <v>257.034825097647</v>
      </c>
      <c r="AX9" s="21" t="n">
        <f aca="false">AX7*AX6*AX8*Inputs!$B$6*Inputs!$B$200</f>
        <v>262.715294732305</v>
      </c>
      <c r="AY9" s="21" t="n">
        <f aca="false">AY7*AY6*AY8*Inputs!$B$6*Inputs!$B$200</f>
        <v>268.521302745889</v>
      </c>
      <c r="AZ9" s="21" t="n">
        <f aca="false">AZ7*AZ6*AZ8*Inputs!$B$6*Inputs!$B$200</f>
        <v>274.455623536573</v>
      </c>
    </row>
    <row r="10" customFormat="false" ht="15" hidden="false" customHeight="true" outlineLevel="0" collapsed="false">
      <c r="A10" s="13" t="s">
        <v>405</v>
      </c>
      <c r="B10" s="2"/>
      <c r="C10" s="2"/>
      <c r="D10" s="50" t="n">
        <f aca="false">IF((2026-Inputs!$B$53-Inputs!$B$9)&lt;0,0,IF((2026-Inputs!$B$53-Inputs!$B$9)=0,Inputs!$B$67,IF((2026-Inputs!$B$53-Inputs!$B$9)=1,Inputs!$B$68,Inputs!$B$69)))</f>
        <v>0</v>
      </c>
      <c r="E10" s="50" t="n">
        <f aca="false">IF((2027-Inputs!$B$53-Inputs!$B$9)&lt;0,0,IF((2027-Inputs!$B$53-Inputs!$B$9)=0,Inputs!$B$67,IF((2027-Inputs!$B$53-Inputs!$B$9)=1,Inputs!$B$68,Inputs!$B$69)))</f>
        <v>0</v>
      </c>
      <c r="F10" s="50" t="n">
        <f aca="false">IF((2028-Inputs!$B$53-Inputs!$B$9)&lt;0,0,IF((2028-Inputs!$B$53-Inputs!$B$9)=0,Inputs!$B$67,IF((2028-Inputs!$B$53-Inputs!$B$9)=1,Inputs!$B$68,Inputs!$B$69)))</f>
        <v>0</v>
      </c>
      <c r="G10" s="50" t="n">
        <f aca="false">IF((2029-Inputs!$B$53-Inputs!$B$9)&lt;0,0,IF((2029-Inputs!$B$53-Inputs!$B$9)=0,Inputs!$B$67,IF((2029-Inputs!$B$53-Inputs!$B$9)=1,Inputs!$B$68,Inputs!$B$69)))</f>
        <v>0.442</v>
      </c>
      <c r="H10" s="50" t="n">
        <f aca="false">IF((2030-Inputs!$B$53-Inputs!$B$9)&lt;0,0,IF((2030-Inputs!$B$53-Inputs!$B$9)=0,Inputs!$B$67,IF((2030-Inputs!$B$53-Inputs!$B$9)=1,Inputs!$B$68,Inputs!$B$69)))</f>
        <v>0.461</v>
      </c>
      <c r="I10" s="50" t="n">
        <f aca="false">IF((2031-Inputs!$B$53-Inputs!$B$9)&lt;0,0,IF((2031-Inputs!$B$53-Inputs!$B$9)=0,Inputs!$B$67,IF((2031-Inputs!$B$53-Inputs!$B$9)=1,Inputs!$B$68,Inputs!$B$69)))</f>
        <v>0.474</v>
      </c>
      <c r="J10" s="50" t="n">
        <f aca="false">IF((2032-Inputs!$B$53-Inputs!$B$9)&lt;0,0,IF((2032-Inputs!$B$53-Inputs!$B$9)=0,Inputs!$B$67,IF((2032-Inputs!$B$53-Inputs!$B$9)=1,Inputs!$B$68,Inputs!$B$69)))</f>
        <v>0.474</v>
      </c>
      <c r="K10" s="50" t="n">
        <f aca="false">IF((2033-Inputs!$B$53-Inputs!$B$9)&lt;0,0,IF((2033-Inputs!$B$53-Inputs!$B$9)=0,Inputs!$B$67,IF((2033-Inputs!$B$53-Inputs!$B$9)=1,Inputs!$B$68,Inputs!$B$69)))</f>
        <v>0.474</v>
      </c>
      <c r="L10" s="50" t="n">
        <f aca="false">IF((2034-Inputs!$B$53-Inputs!$B$9)&lt;0,0,IF((2034-Inputs!$B$53-Inputs!$B$9)=0,Inputs!$B$67,IF((2034-Inputs!$B$53-Inputs!$B$9)=1,Inputs!$B$68,Inputs!$B$69)))</f>
        <v>0.474</v>
      </c>
      <c r="M10" s="50" t="n">
        <f aca="false">IF((2035-Inputs!$B$53-Inputs!$B$9)&lt;0,0,IF((2035-Inputs!$B$53-Inputs!$B$9)=0,Inputs!$B$67,IF((2035-Inputs!$B$53-Inputs!$B$9)=1,Inputs!$B$68,Inputs!$B$69)))</f>
        <v>0.474</v>
      </c>
      <c r="N10" s="50" t="n">
        <f aca="false">IF((2036-Inputs!$B$53-Inputs!$B$9)&lt;0,0,IF((2036-Inputs!$B$53-Inputs!$B$9)=0,Inputs!$B$67,IF((2036-Inputs!$B$53-Inputs!$B$9)=1,Inputs!$B$68,Inputs!$B$69)))</f>
        <v>0.474</v>
      </c>
      <c r="O10" s="50" t="n">
        <f aca="false">IF((2037-Inputs!$B$53-Inputs!$B$9)&lt;0,0,IF((2037-Inputs!$B$53-Inputs!$B$9)=0,Inputs!$B$67,IF((2037-Inputs!$B$53-Inputs!$B$9)=1,Inputs!$B$68,Inputs!$B$69)))</f>
        <v>0.474</v>
      </c>
      <c r="P10" s="50" t="n">
        <f aca="false">IF((2038-Inputs!$B$53-Inputs!$B$9)&lt;0,0,IF((2038-Inputs!$B$53-Inputs!$B$9)=0,Inputs!$B$67,IF((2038-Inputs!$B$53-Inputs!$B$9)=1,Inputs!$B$68,Inputs!$B$69)))</f>
        <v>0.474</v>
      </c>
      <c r="Q10" s="50" t="n">
        <f aca="false">IF((2039-Inputs!$B$53-Inputs!$B$9)&lt;0,0,IF((2039-Inputs!$B$53-Inputs!$B$9)=0,Inputs!$B$67,IF((2039-Inputs!$B$53-Inputs!$B$9)=1,Inputs!$B$68,Inputs!$B$69)))</f>
        <v>0.474</v>
      </c>
      <c r="R10" s="50" t="n">
        <f aca="false">IF((2040-Inputs!$B$53-Inputs!$B$9)&lt;0,0,IF((2040-Inputs!$B$53-Inputs!$B$9)=0,Inputs!$B$67,IF((2040-Inputs!$B$53-Inputs!$B$9)=1,Inputs!$B$68,Inputs!$B$69)))</f>
        <v>0.474</v>
      </c>
      <c r="S10" s="50" t="n">
        <f aca="false">IF((2041-Inputs!$B$53-Inputs!$B$9)&lt;0,0,IF((2041-Inputs!$B$53-Inputs!$B$9)=0,Inputs!$B$67,IF((2041-Inputs!$B$53-Inputs!$B$9)=1,Inputs!$B$68,Inputs!$B$69)))</f>
        <v>0.474</v>
      </c>
      <c r="T10" s="50" t="n">
        <f aca="false">IF((2042-Inputs!$B$53-Inputs!$B$9)&lt;0,0,IF((2042-Inputs!$B$53-Inputs!$B$9)=0,Inputs!$B$67,IF((2042-Inputs!$B$53-Inputs!$B$9)=1,Inputs!$B$68,Inputs!$B$69)))</f>
        <v>0.474</v>
      </c>
      <c r="U10" s="50" t="n">
        <f aca="false">IF((2043-Inputs!$B$53-Inputs!$B$9)&lt;0,0,IF((2043-Inputs!$B$53-Inputs!$B$9)=0,Inputs!$B$67,IF((2043-Inputs!$B$53-Inputs!$B$9)=1,Inputs!$B$68,Inputs!$B$69)))</f>
        <v>0.474</v>
      </c>
      <c r="V10" s="50" t="n">
        <f aca="false">IF((2044-Inputs!$B$53-Inputs!$B$9)&lt;0,0,IF((2044-Inputs!$B$53-Inputs!$B$9)=0,Inputs!$B$67,IF((2044-Inputs!$B$53-Inputs!$B$9)=1,Inputs!$B$68,Inputs!$B$69)))</f>
        <v>0.474</v>
      </c>
      <c r="W10" s="50" t="n">
        <f aca="false">IF((2045-Inputs!$B$53-Inputs!$B$9)&lt;0,0,IF((2045-Inputs!$B$53-Inputs!$B$9)=0,Inputs!$B$67,IF((2045-Inputs!$B$53-Inputs!$B$9)=1,Inputs!$B$68,Inputs!$B$69)))</f>
        <v>0.474</v>
      </c>
      <c r="X10" s="50" t="n">
        <f aca="false">IF((2046-Inputs!$B$53-Inputs!$B$9)&lt;0,0,IF((2046-Inputs!$B$53-Inputs!$B$9)=0,Inputs!$B$67,IF((2046-Inputs!$B$53-Inputs!$B$9)=1,Inputs!$B$68,Inputs!$B$69)))</f>
        <v>0.474</v>
      </c>
      <c r="Y10" s="50" t="n">
        <f aca="false">IF((2047-Inputs!$B$53-Inputs!$B$9)&lt;0,0,IF((2047-Inputs!$B$53-Inputs!$B$9)=0,Inputs!$B$67,IF((2047-Inputs!$B$53-Inputs!$B$9)=1,Inputs!$B$68,Inputs!$B$69)))</f>
        <v>0.474</v>
      </c>
      <c r="Z10" s="50" t="n">
        <f aca="false">IF((2048-Inputs!$B$53-Inputs!$B$9)&lt;0,0,IF((2048-Inputs!$B$53-Inputs!$B$9)=0,Inputs!$B$67,IF((2048-Inputs!$B$53-Inputs!$B$9)=1,Inputs!$B$68,Inputs!$B$69)))</f>
        <v>0.474</v>
      </c>
      <c r="AA10" s="50" t="n">
        <f aca="false">IF((2049-Inputs!$B$53-Inputs!$B$9)&lt;0,0,IF((2049-Inputs!$B$53-Inputs!$B$9)=0,Inputs!$B$67,IF((2049-Inputs!$B$53-Inputs!$B$9)=1,Inputs!$B$68,Inputs!$B$69)))</f>
        <v>0.474</v>
      </c>
      <c r="AB10" s="50" t="n">
        <f aca="false">IF((2050-Inputs!$B$53-Inputs!$B$9)&lt;0,0,IF((2050-Inputs!$B$53-Inputs!$B$9)=0,Inputs!$B$67,IF((2050-Inputs!$B$53-Inputs!$B$9)=1,Inputs!$B$68,Inputs!$B$69)))</f>
        <v>0.474</v>
      </c>
      <c r="AC10" s="50" t="n">
        <f aca="false">IF((2051-Inputs!$B$53-Inputs!$B$9)&lt;0,0,IF((2051-Inputs!$B$53-Inputs!$B$9)=0,Inputs!$B$67,IF((2051-Inputs!$B$53-Inputs!$B$9)=1,Inputs!$B$68,Inputs!$B$69)))</f>
        <v>0.474</v>
      </c>
      <c r="AD10" s="50" t="n">
        <f aca="false">IF((2052-Inputs!$B$53-Inputs!$B$9)&lt;0,0,IF((2052-Inputs!$B$53-Inputs!$B$9)=0,Inputs!$B$67,IF((2052-Inputs!$B$53-Inputs!$B$9)=1,Inputs!$B$68,Inputs!$B$69)))</f>
        <v>0.474</v>
      </c>
      <c r="AE10" s="50" t="n">
        <f aca="false">IF((2053-Inputs!$B$53-Inputs!$B$9)&lt;0,0,IF((2053-Inputs!$B$53-Inputs!$B$9)=0,Inputs!$B$67,IF((2053-Inputs!$B$53-Inputs!$B$9)=1,Inputs!$B$68,Inputs!$B$69)))</f>
        <v>0.474</v>
      </c>
      <c r="AF10" s="50" t="n">
        <f aca="false">IF((2054-Inputs!$B$53-Inputs!$B$9)&lt;0,0,IF((2054-Inputs!$B$53-Inputs!$B$9)=0,Inputs!$B$67,IF((2054-Inputs!$B$53-Inputs!$B$9)=1,Inputs!$B$68,Inputs!$B$69)))</f>
        <v>0.474</v>
      </c>
      <c r="AG10" s="50" t="n">
        <f aca="false">IF((2055-Inputs!$B$53-Inputs!$B$9)&lt;0,0,IF((2055-Inputs!$B$53-Inputs!$B$9)=0,Inputs!$B$67,IF((2055-Inputs!$B$53-Inputs!$B$9)=1,Inputs!$B$68,Inputs!$B$69)))</f>
        <v>0.474</v>
      </c>
      <c r="AH10" s="50" t="n">
        <f aca="false">IF((2056-Inputs!$B$53-Inputs!$B$9)&lt;0,0,IF((2056-Inputs!$B$53-Inputs!$B$9)=0,Inputs!$B$67,IF((2056-Inputs!$B$53-Inputs!$B$9)=1,Inputs!$B$68,Inputs!$B$69)))</f>
        <v>0.474</v>
      </c>
      <c r="AI10" s="50" t="n">
        <f aca="false">IF((2057-Inputs!$B$53-Inputs!$B$9)&lt;0,0,IF((2057-Inputs!$B$53-Inputs!$B$9)=0,Inputs!$B$67,IF((2057-Inputs!$B$53-Inputs!$B$9)=1,Inputs!$B$68,Inputs!$B$69)))</f>
        <v>0.474</v>
      </c>
      <c r="AJ10" s="50" t="n">
        <f aca="false">IF((2058-Inputs!$B$53-Inputs!$B$9)&lt;0,0,IF((2058-Inputs!$B$53-Inputs!$B$9)=0,Inputs!$B$67,IF((2058-Inputs!$B$53-Inputs!$B$9)=1,Inputs!$B$68,Inputs!$B$69)))</f>
        <v>0.474</v>
      </c>
      <c r="AK10" s="50" t="n">
        <f aca="false">IF((2059-Inputs!$B$53-Inputs!$B$9)&lt;0,0,IF((2059-Inputs!$B$53-Inputs!$B$9)=0,Inputs!$B$67,IF((2059-Inputs!$B$53-Inputs!$B$9)=1,Inputs!$B$68,Inputs!$B$69)))</f>
        <v>0.474</v>
      </c>
      <c r="AL10" s="50" t="n">
        <f aca="false">IF((2060-Inputs!$B$53-Inputs!$B$9)&lt;0,0,IF((2060-Inputs!$B$53-Inputs!$B$9)=0,Inputs!$B$67,IF((2060-Inputs!$B$53-Inputs!$B$9)=1,Inputs!$B$68,Inputs!$B$69)))</f>
        <v>0.474</v>
      </c>
      <c r="AM10" s="50" t="n">
        <f aca="false">IF((2061-Inputs!$B$53-Inputs!$B$9)&lt;0,0,IF((2061-Inputs!$B$53-Inputs!$B$9)=0,Inputs!$B$67,IF((2061-Inputs!$B$53-Inputs!$B$9)=1,Inputs!$B$68,Inputs!$B$69)))</f>
        <v>0.474</v>
      </c>
      <c r="AN10" s="50" t="n">
        <f aca="false">IF((2062-Inputs!$B$53-Inputs!$B$9)&lt;0,0,IF((2062-Inputs!$B$53-Inputs!$B$9)=0,Inputs!$B$67,IF((2062-Inputs!$B$53-Inputs!$B$9)=1,Inputs!$B$68,Inputs!$B$69)))</f>
        <v>0.474</v>
      </c>
      <c r="AO10" s="50" t="n">
        <f aca="false">IF((2063-Inputs!$B$53-Inputs!$B$9)&lt;0,0,IF((2063-Inputs!$B$53-Inputs!$B$9)=0,Inputs!$B$67,IF((2063-Inputs!$B$53-Inputs!$B$9)=1,Inputs!$B$68,Inputs!$B$69)))</f>
        <v>0.474</v>
      </c>
      <c r="AP10" s="50" t="n">
        <f aca="false">IF((2064-Inputs!$B$53-Inputs!$B$9)&lt;0,0,IF((2064-Inputs!$B$53-Inputs!$B$9)=0,Inputs!$B$67,IF((2064-Inputs!$B$53-Inputs!$B$9)=1,Inputs!$B$68,Inputs!$B$69)))</f>
        <v>0.474</v>
      </c>
      <c r="AQ10" s="50" t="n">
        <f aca="false">IF((2065-Inputs!$B$53-Inputs!$B$9)&lt;0,0,IF((2065-Inputs!$B$53-Inputs!$B$9)=0,Inputs!$B$67,IF((2065-Inputs!$B$53-Inputs!$B$9)=1,Inputs!$B$68,Inputs!$B$69)))</f>
        <v>0.474</v>
      </c>
      <c r="AR10" s="50" t="n">
        <f aca="false">IF((2066-Inputs!$B$53-Inputs!$B$9)&lt;0,0,IF((2066-Inputs!$B$53-Inputs!$B$9)=0,Inputs!$B$67,IF((2066-Inputs!$B$53-Inputs!$B$9)=1,Inputs!$B$68,Inputs!$B$69)))</f>
        <v>0.474</v>
      </c>
      <c r="AS10" s="50" t="n">
        <f aca="false">IF((2067-Inputs!$B$53-Inputs!$B$9)&lt;0,0,IF((2067-Inputs!$B$53-Inputs!$B$9)=0,Inputs!$B$67,IF((2067-Inputs!$B$53-Inputs!$B$9)=1,Inputs!$B$68,Inputs!$B$69)))</f>
        <v>0.474</v>
      </c>
      <c r="AT10" s="50" t="n">
        <f aca="false">IF((2068-Inputs!$B$53-Inputs!$B$9)&lt;0,0,IF((2068-Inputs!$B$53-Inputs!$B$9)=0,Inputs!$B$67,IF((2068-Inputs!$B$53-Inputs!$B$9)=1,Inputs!$B$68,Inputs!$B$69)))</f>
        <v>0.474</v>
      </c>
      <c r="AU10" s="50" t="n">
        <f aca="false">IF((2069-Inputs!$B$53-Inputs!$B$9)&lt;0,0,IF((2069-Inputs!$B$53-Inputs!$B$9)=0,Inputs!$B$67,IF((2069-Inputs!$B$53-Inputs!$B$9)=1,Inputs!$B$68,Inputs!$B$69)))</f>
        <v>0.474</v>
      </c>
      <c r="AV10" s="50" t="n">
        <f aca="false">IF((2070-Inputs!$B$53-Inputs!$B$9)&lt;0,0,IF((2070-Inputs!$B$53-Inputs!$B$9)=0,Inputs!$B$67,IF((2070-Inputs!$B$53-Inputs!$B$9)=1,Inputs!$B$68,Inputs!$B$69)))</f>
        <v>0.474</v>
      </c>
      <c r="AW10" s="50" t="n">
        <f aca="false">IF((2071-Inputs!$B$53-Inputs!$B$9)&lt;0,0,IF((2071-Inputs!$B$53-Inputs!$B$9)=0,Inputs!$B$67,IF((2071-Inputs!$B$53-Inputs!$B$9)=1,Inputs!$B$68,Inputs!$B$69)))</f>
        <v>0.474</v>
      </c>
      <c r="AX10" s="50" t="n">
        <f aca="false">IF((2072-Inputs!$B$53-Inputs!$B$9)&lt;0,0,IF((2072-Inputs!$B$53-Inputs!$B$9)=0,Inputs!$B$67,IF((2072-Inputs!$B$53-Inputs!$B$9)=1,Inputs!$B$68,Inputs!$B$69)))</f>
        <v>0.474</v>
      </c>
      <c r="AY10" s="50" t="n">
        <f aca="false">IF((2073-Inputs!$B$53-Inputs!$B$9)&lt;0,0,IF((2073-Inputs!$B$53-Inputs!$B$9)=0,Inputs!$B$67,IF((2073-Inputs!$B$53-Inputs!$B$9)=1,Inputs!$B$68,Inputs!$B$69)))</f>
        <v>0.474</v>
      </c>
      <c r="AZ10" s="50" t="n">
        <f aca="false">IF((2074-Inputs!$B$53-Inputs!$B$9)&lt;0,0,IF((2074-Inputs!$B$53-Inputs!$B$9)=0,Inputs!$B$67,IF((2074-Inputs!$B$53-Inputs!$B$9)=1,Inputs!$B$68,Inputs!$B$69)))</f>
        <v>0.474</v>
      </c>
    </row>
    <row r="11" customFormat="false" ht="15" hidden="false" customHeight="true" outlineLevel="0" collapsed="false">
      <c r="A11" s="13" t="s">
        <v>406</v>
      </c>
      <c r="B11" s="2"/>
      <c r="C11" s="41" t="n">
        <f aca="false">SUM(D11:AZ11)</f>
        <v>3783.62075260165</v>
      </c>
      <c r="D11" s="41" t="n">
        <f aca="false">D9*D10</f>
        <v>0</v>
      </c>
      <c r="E11" s="41" t="n">
        <f aca="false">E9*E10</f>
        <v>0</v>
      </c>
      <c r="F11" s="41" t="n">
        <f aca="false">F9*F10</f>
        <v>0</v>
      </c>
      <c r="G11" s="41" t="n">
        <f aca="false">G9*G10</f>
        <v>20.5262925209832</v>
      </c>
      <c r="H11" s="41" t="n">
        <f aca="false">H9*H10</f>
        <v>46.0363542106547</v>
      </c>
      <c r="I11" s="41" t="n">
        <f aca="false">I9*I10</f>
        <v>50.8200138554034</v>
      </c>
      <c r="J11" s="41" t="n">
        <f aca="false">J9*J10</f>
        <v>51.9431361616078</v>
      </c>
      <c r="K11" s="41" t="n">
        <f aca="false">K9*K10</f>
        <v>53.0910794707794</v>
      </c>
      <c r="L11" s="41" t="n">
        <f aca="false">L9*L10</f>
        <v>54.2643923270836</v>
      </c>
      <c r="M11" s="41" t="n">
        <f aca="false">M9*M10</f>
        <v>55.4636353975121</v>
      </c>
      <c r="N11" s="41" t="n">
        <f aca="false">N9*N10</f>
        <v>56.6893817397972</v>
      </c>
      <c r="O11" s="41" t="n">
        <f aca="false">O9*O10</f>
        <v>57.9422170762467</v>
      </c>
      <c r="P11" s="41" t="n">
        <f aca="false">P9*P10</f>
        <v>59.2227400736317</v>
      </c>
      <c r="Q11" s="41" t="n">
        <f aca="false">Q9*Q10</f>
        <v>60.531562629259</v>
      </c>
      <c r="R11" s="41" t="n">
        <f aca="false">R9*R10</f>
        <v>61.8693101633656</v>
      </c>
      <c r="S11" s="41" t="n">
        <f aca="false">S9*S10</f>
        <v>63.236621917976</v>
      </c>
      <c r="T11" s="41" t="n">
        <f aca="false">T9*T10</f>
        <v>64.6341512623633</v>
      </c>
      <c r="U11" s="41" t="n">
        <f aca="false">U9*U10</f>
        <v>66.0625660052615</v>
      </c>
      <c r="V11" s="41" t="n">
        <f aca="false">V9*V10</f>
        <v>67.5225487139778</v>
      </c>
      <c r="W11" s="41" t="n">
        <f aca="false">W9*W10</f>
        <v>69.0147970405567</v>
      </c>
      <c r="X11" s="41" t="n">
        <f aca="false">X9*X10</f>
        <v>70.540024055153</v>
      </c>
      <c r="Y11" s="41" t="n">
        <f aca="false">Y9*Y10</f>
        <v>72.0989585867719</v>
      </c>
      <c r="Z11" s="41" t="n">
        <f aca="false">Z9*Z10</f>
        <v>73.6923455715395</v>
      </c>
      <c r="AA11" s="41" t="n">
        <f aca="false">AA9*AA10</f>
        <v>75.3209464086706</v>
      </c>
      <c r="AB11" s="41" t="n">
        <f aca="false">AB9*AB10</f>
        <v>76.9855393243022</v>
      </c>
      <c r="AC11" s="41" t="n">
        <f aca="false">AC9*AC10</f>
        <v>78.6869197433692</v>
      </c>
      <c r="AD11" s="41" t="n">
        <f aca="false">AD9*AD10</f>
        <v>80.4259006696977</v>
      </c>
      <c r="AE11" s="41" t="n">
        <f aca="false">AE9*AE10</f>
        <v>82.203313074498</v>
      </c>
      <c r="AF11" s="41" t="n">
        <f aca="false">AF9*AF10</f>
        <v>84.0200062934444</v>
      </c>
      <c r="AG11" s="41" t="n">
        <f aca="false">AG9*AG10</f>
        <v>85.8768484325296</v>
      </c>
      <c r="AH11" s="41" t="n">
        <f aca="false">AH9*AH10</f>
        <v>87.7747267828885</v>
      </c>
      <c r="AI11" s="41" t="n">
        <f aca="false">AI9*AI10</f>
        <v>89.7145482447903</v>
      </c>
      <c r="AJ11" s="41" t="n">
        <f aca="false">AJ9*AJ10</f>
        <v>91.6972397610002</v>
      </c>
      <c r="AK11" s="41" t="n">
        <f aca="false">AK9*AK10</f>
        <v>93.7237487597183</v>
      </c>
      <c r="AL11" s="41" t="n">
        <f aca="false">AL9*AL10</f>
        <v>95.7950436073081</v>
      </c>
      <c r="AM11" s="41" t="n">
        <f aca="false">AM9*AM10</f>
        <v>97.9121140710295</v>
      </c>
      <c r="AN11" s="41" t="n">
        <f aca="false">AN9*AN10</f>
        <v>100.075971791999</v>
      </c>
      <c r="AO11" s="41" t="n">
        <f aca="false">AO9*AO10</f>
        <v>102.287650768602</v>
      </c>
      <c r="AP11" s="41" t="n">
        <f aca="false">AP9*AP10</f>
        <v>104.548207850589</v>
      </c>
      <c r="AQ11" s="41" t="n">
        <f aca="false">AQ9*AQ10</f>
        <v>106.858723244087</v>
      </c>
      <c r="AR11" s="41" t="n">
        <f aca="false">AR9*AR10</f>
        <v>109.220301027781</v>
      </c>
      <c r="AS11" s="41" t="n">
        <f aca="false">AS9*AS10</f>
        <v>111.634069680495</v>
      </c>
      <c r="AT11" s="41" t="n">
        <f aca="false">AT9*AT10</f>
        <v>114.101182620434</v>
      </c>
      <c r="AU11" s="41" t="n">
        <f aca="false">AU9*AU10</f>
        <v>116.622818756345</v>
      </c>
      <c r="AV11" s="41" t="n">
        <f aca="false">AV9*AV10</f>
        <v>119.200183050861</v>
      </c>
      <c r="AW11" s="41" t="n">
        <f aca="false">AW9*AW10</f>
        <v>121.834507096285</v>
      </c>
      <c r="AX11" s="41" t="n">
        <f aca="false">AX9*AX10</f>
        <v>124.527049703113</v>
      </c>
      <c r="AY11" s="41" t="n">
        <f aca="false">AY9*AY10</f>
        <v>127.279097501551</v>
      </c>
      <c r="AZ11" s="41" t="n">
        <f aca="false">AZ9*AZ10</f>
        <v>130.091965556336</v>
      </c>
    </row>
    <row r="12" customFormat="false" ht="15" hidden="false" customHeight="true" outlineLevel="0" collapsed="false">
      <c r="A12" s="13" t="s">
        <v>407</v>
      </c>
      <c r="B12" s="2"/>
      <c r="C12" s="41" t="n">
        <f aca="false">SUM(D12:AZ12)</f>
        <v>-861.863397965811</v>
      </c>
      <c r="D12" s="41" t="n">
        <f aca="false">-(D9*(Inputs!$B$70+Inputs!$B$72)+D11*Inputs!$B$71)</f>
        <v>-0</v>
      </c>
      <c r="E12" s="41" t="n">
        <f aca="false">-(E9*(Inputs!$B$70+Inputs!$B$72)+E11*Inputs!$B$71)</f>
        <v>-0</v>
      </c>
      <c r="F12" s="41" t="n">
        <f aca="false">-(F9*(Inputs!$B$70+Inputs!$B$72)+F11*Inputs!$B$71)</f>
        <v>-0</v>
      </c>
      <c r="G12" s="41" t="n">
        <f aca="false">-(G9*(Inputs!$B$70+Inputs!$B$72)+G11*Inputs!$B$71)</f>
        <v>-4.89287371043166</v>
      </c>
      <c r="H12" s="41" t="n">
        <f aca="false">-(H9*(Inputs!$B$70+Inputs!$B$72)+H11*Inputs!$B$71)</f>
        <v>-10.6732441172121</v>
      </c>
      <c r="I12" s="41" t="n">
        <f aca="false">-(I9*(Inputs!$B$70+Inputs!$B$72)+I11*Inputs!$B$71)</f>
        <v>-11.5706664457281</v>
      </c>
      <c r="J12" s="41" t="n">
        <f aca="false">-(J9*(Inputs!$B$70+Inputs!$B$72)+J11*Inputs!$B$71)</f>
        <v>-11.8263781741787</v>
      </c>
      <c r="K12" s="41" t="n">
        <f aca="false">-(K9*(Inputs!$B$70+Inputs!$B$72)+K11*Inputs!$B$71)</f>
        <v>-12.0877411318281</v>
      </c>
      <c r="L12" s="41" t="n">
        <f aca="false">-(L9*(Inputs!$B$70+Inputs!$B$72)+L11*Inputs!$B$71)</f>
        <v>-12.3548802108415</v>
      </c>
      <c r="M12" s="41" t="n">
        <f aca="false">-(M9*(Inputs!$B$70+Inputs!$B$72)+M11*Inputs!$B$71)</f>
        <v>-12.6279230635011</v>
      </c>
      <c r="N12" s="41" t="n">
        <f aca="false">-(N9*(Inputs!$B$70+Inputs!$B$72)+N11*Inputs!$B$71)</f>
        <v>-12.9070001632045</v>
      </c>
      <c r="O12" s="41" t="n">
        <f aca="false">-(O9*(Inputs!$B$70+Inputs!$B$72)+O11*Inputs!$B$71)</f>
        <v>-13.1922448668113</v>
      </c>
      <c r="P12" s="41" t="n">
        <f aca="false">-(P9*(Inputs!$B$70+Inputs!$B$72)+P11*Inputs!$B$71)</f>
        <v>-13.4837934783678</v>
      </c>
      <c r="Q12" s="41" t="n">
        <f aca="false">-(Q9*(Inputs!$B$70+Inputs!$B$72)+Q11*Inputs!$B$71)</f>
        <v>-13.7817853142397</v>
      </c>
      <c r="R12" s="41" t="n">
        <f aca="false">-(R9*(Inputs!$B$70+Inputs!$B$72)+R11*Inputs!$B$71)</f>
        <v>-14.0863627696844</v>
      </c>
      <c r="S12" s="41" t="n">
        <f aca="false">-(S9*(Inputs!$B$70+Inputs!$B$72)+S11*Inputs!$B$71)</f>
        <v>-14.3976713868945</v>
      </c>
      <c r="T12" s="41" t="n">
        <f aca="false">-(T9*(Inputs!$B$70+Inputs!$B$72)+T11*Inputs!$B$71)</f>
        <v>-14.7158599245448</v>
      </c>
      <c r="U12" s="41" t="n">
        <f aca="false">-(U9*(Inputs!$B$70+Inputs!$B$72)+U11*Inputs!$B$71)</f>
        <v>-15.0410804288773</v>
      </c>
      <c r="V12" s="41" t="n">
        <f aca="false">-(V9*(Inputs!$B$70+Inputs!$B$72)+V11*Inputs!$B$71)</f>
        <v>-15.3734883063554</v>
      </c>
      <c r="W12" s="41" t="n">
        <f aca="false">-(W9*(Inputs!$B$70+Inputs!$B$72)+W11*Inputs!$B$71)</f>
        <v>-15.7132423979259</v>
      </c>
      <c r="X12" s="41" t="n">
        <f aca="false">-(X9*(Inputs!$B$70+Inputs!$B$72)+X11*Inputs!$B$71)</f>
        <v>-16.0605050549201</v>
      </c>
      <c r="Y12" s="41" t="n">
        <f aca="false">-(Y9*(Inputs!$B$70+Inputs!$B$72)+Y11*Inputs!$B$71)</f>
        <v>-16.4154422166338</v>
      </c>
      <c r="Z12" s="41" t="n">
        <f aca="false">-(Z9*(Inputs!$B$70+Inputs!$B$72)+Z11*Inputs!$B$71)</f>
        <v>-16.7782234896214</v>
      </c>
      <c r="AA12" s="41" t="n">
        <f aca="false">-(AA9*(Inputs!$B$70+Inputs!$B$72)+AA11*Inputs!$B$71)</f>
        <v>-17.149022228742</v>
      </c>
      <c r="AB12" s="41" t="n">
        <f aca="false">-(AB9*(Inputs!$B$70+Inputs!$B$72)+AB11*Inputs!$B$71)</f>
        <v>-17.5280156199972</v>
      </c>
      <c r="AC12" s="41" t="n">
        <f aca="false">-(AC9*(Inputs!$B$70+Inputs!$B$72)+AC11*Inputs!$B$71)</f>
        <v>-17.9153847651992</v>
      </c>
      <c r="AD12" s="41" t="n">
        <f aca="false">-(AD9*(Inputs!$B$70+Inputs!$B$72)+AD11*Inputs!$B$71)</f>
        <v>-18.3113147685101</v>
      </c>
      <c r="AE12" s="41" t="n">
        <f aca="false">-(AE9*(Inputs!$B$70+Inputs!$B$72)+AE11*Inputs!$B$71)</f>
        <v>-18.7159948248942</v>
      </c>
      <c r="AF12" s="41" t="n">
        <f aca="false">-(AF9*(Inputs!$B$70+Inputs!$B$72)+AF11*Inputs!$B$71)</f>
        <v>-19.1296183105243</v>
      </c>
      <c r="AG12" s="41" t="n">
        <f aca="false">-(AG9*(Inputs!$B$70+Inputs!$B$72)+AG11*Inputs!$B$71)</f>
        <v>-19.5523828751869</v>
      </c>
      <c r="AH12" s="41" t="n">
        <f aca="false">-(AH9*(Inputs!$B$70+Inputs!$B$72)+AH11*Inputs!$B$71)</f>
        <v>-19.9844905367285</v>
      </c>
      <c r="AI12" s="41" t="n">
        <f aca="false">-(AI9*(Inputs!$B$70+Inputs!$B$72)+AI11*Inputs!$B$71)</f>
        <v>-20.4261477775902</v>
      </c>
      <c r="AJ12" s="41" t="n">
        <f aca="false">-(AJ9*(Inputs!$B$70+Inputs!$B$72)+AJ11*Inputs!$B$71)</f>
        <v>-20.877565643475</v>
      </c>
      <c r="AK12" s="41" t="n">
        <f aca="false">-(AK9*(Inputs!$B$70+Inputs!$B$72)+AK11*Inputs!$B$71)</f>
        <v>-21.3389598441958</v>
      </c>
      <c r="AL12" s="41" t="n">
        <f aca="false">-(AL9*(Inputs!$B$70+Inputs!$B$72)+AL11*Inputs!$B$71)</f>
        <v>-21.8105508567525</v>
      </c>
      <c r="AM12" s="41" t="n">
        <f aca="false">-(AM9*(Inputs!$B$70+Inputs!$B$72)+AM11*Inputs!$B$71)</f>
        <v>-22.2925640306867</v>
      </c>
      <c r="AN12" s="41" t="n">
        <f aca="false">-(AN9*(Inputs!$B$70+Inputs!$B$72)+AN11*Inputs!$B$71)</f>
        <v>-22.7852296957649</v>
      </c>
      <c r="AO12" s="41" t="n">
        <f aca="false">-(AO9*(Inputs!$B$70+Inputs!$B$72)+AO11*Inputs!$B$71)</f>
        <v>-23.2887832720413</v>
      </c>
      <c r="AP12" s="41" t="n">
        <f aca="false">-(AP9*(Inputs!$B$70+Inputs!$B$72)+AP11*Inputs!$B$71)</f>
        <v>-23.8034653823534</v>
      </c>
      <c r="AQ12" s="41" t="n">
        <f aca="false">-(AQ9*(Inputs!$B$70+Inputs!$B$72)+AQ11*Inputs!$B$71)</f>
        <v>-24.3295219673034</v>
      </c>
      <c r="AR12" s="41" t="n">
        <f aca="false">-(AR9*(Inputs!$B$70+Inputs!$B$72)+AR11*Inputs!$B$71)</f>
        <v>-24.8672044027808</v>
      </c>
      <c r="AS12" s="41" t="n">
        <f aca="false">-(AS9*(Inputs!$B$70+Inputs!$B$72)+AS11*Inputs!$B$71)</f>
        <v>-25.4167696200823</v>
      </c>
      <c r="AT12" s="41" t="n">
        <f aca="false">-(AT9*(Inputs!$B$70+Inputs!$B$72)+AT11*Inputs!$B$71)</f>
        <v>-25.9784802286861</v>
      </c>
      <c r="AU12" s="41" t="n">
        <f aca="false">-(AU9*(Inputs!$B$70+Inputs!$B$72)+AU11*Inputs!$B$71)</f>
        <v>-26.5526046417401</v>
      </c>
      <c r="AV12" s="41" t="n">
        <f aca="false">-(AV9*(Inputs!$B$70+Inputs!$B$72)+AV11*Inputs!$B$71)</f>
        <v>-27.1394172043225</v>
      </c>
      <c r="AW12" s="41" t="n">
        <f aca="false">-(AW9*(Inputs!$B$70+Inputs!$B$72)+AW11*Inputs!$B$71)</f>
        <v>-27.7391983245381</v>
      </c>
      <c r="AX12" s="41" t="n">
        <f aca="false">-(AX9*(Inputs!$B$70+Inputs!$B$72)+AX11*Inputs!$B$71)</f>
        <v>-28.3522346075104</v>
      </c>
      <c r="AY12" s="41" t="n">
        <f aca="false">-(AY9*(Inputs!$B$70+Inputs!$B$72)+AY11*Inputs!$B$71)</f>
        <v>-28.9788189923363</v>
      </c>
      <c r="AZ12" s="41" t="n">
        <f aca="false">-(AZ9*(Inputs!$B$70+Inputs!$B$72)+AZ11*Inputs!$B$71)</f>
        <v>-29.619250892067</v>
      </c>
    </row>
    <row r="13" customFormat="false" ht="15" hidden="false" customHeight="true" outlineLevel="0" collapsed="false">
      <c r="A13" s="6" t="s">
        <v>408</v>
      </c>
      <c r="B13" s="2"/>
      <c r="C13" s="44" t="n">
        <f aca="false">SUM(D13:AZ13)</f>
        <v>2921.75735463584</v>
      </c>
      <c r="D13" s="44" t="n">
        <f aca="false">D11+D12</f>
        <v>0</v>
      </c>
      <c r="E13" s="44" t="n">
        <f aca="false">E11+E12</f>
        <v>0</v>
      </c>
      <c r="F13" s="44" t="n">
        <f aca="false">F11+F12</f>
        <v>0</v>
      </c>
      <c r="G13" s="44" t="n">
        <f aca="false">G11+G12</f>
        <v>15.6334188105516</v>
      </c>
      <c r="H13" s="44" t="n">
        <f aca="false">H11+H12</f>
        <v>35.3631100934426</v>
      </c>
      <c r="I13" s="44" t="n">
        <f aca="false">I11+I12</f>
        <v>39.2493474096753</v>
      </c>
      <c r="J13" s="44" t="n">
        <f aca="false">J11+J12</f>
        <v>40.1167579874291</v>
      </c>
      <c r="K13" s="44" t="n">
        <f aca="false">K11+K12</f>
        <v>41.0033383389513</v>
      </c>
      <c r="L13" s="44" t="n">
        <f aca="false">L11+L12</f>
        <v>41.9095121162421</v>
      </c>
      <c r="M13" s="44" t="n">
        <f aca="false">M11+M12</f>
        <v>42.8357123340111</v>
      </c>
      <c r="N13" s="44" t="n">
        <f aca="false">N11+N12</f>
        <v>43.7823815765927</v>
      </c>
      <c r="O13" s="44" t="n">
        <f aca="false">O11+O12</f>
        <v>44.7499722094354</v>
      </c>
      <c r="P13" s="44" t="n">
        <f aca="false">P11+P12</f>
        <v>45.7389465952639</v>
      </c>
      <c r="Q13" s="44" t="n">
        <f aca="false">Q11+Q12</f>
        <v>46.7497773150193</v>
      </c>
      <c r="R13" s="44" t="n">
        <f aca="false">R11+R12</f>
        <v>47.7829473936812</v>
      </c>
      <c r="S13" s="44" t="n">
        <f aca="false">S11+S12</f>
        <v>48.8389505310815</v>
      </c>
      <c r="T13" s="44" t="n">
        <f aca="false">T11+T12</f>
        <v>49.9182913378184</v>
      </c>
      <c r="U13" s="44" t="n">
        <f aca="false">U11+U12</f>
        <v>51.0214855763842</v>
      </c>
      <c r="V13" s="44" t="n">
        <f aca="false">V11+V12</f>
        <v>52.1490604076223</v>
      </c>
      <c r="W13" s="44" t="n">
        <f aca="false">W11+W12</f>
        <v>53.3015546426308</v>
      </c>
      <c r="X13" s="44" t="n">
        <f aca="false">X11+X12</f>
        <v>54.4795190002329</v>
      </c>
      <c r="Y13" s="44" t="n">
        <f aca="false">Y11+Y12</f>
        <v>55.6835163701381</v>
      </c>
      <c r="Z13" s="44" t="n">
        <f aca="false">Z11+Z12</f>
        <v>56.9141220819181</v>
      </c>
      <c r="AA13" s="44" t="n">
        <f aca="false">AA11+AA12</f>
        <v>58.1719241799285</v>
      </c>
      <c r="AB13" s="44" t="n">
        <f aca="false">AB11+AB12</f>
        <v>59.4575237043049</v>
      </c>
      <c r="AC13" s="44" t="n">
        <f aca="false">AC11+AC12</f>
        <v>60.7715349781701</v>
      </c>
      <c r="AD13" s="44" t="n">
        <f aca="false">AD11+AD12</f>
        <v>62.1145859011876</v>
      </c>
      <c r="AE13" s="44" t="n">
        <f aca="false">AE11+AE12</f>
        <v>63.4873182496039</v>
      </c>
      <c r="AF13" s="44" t="n">
        <f aca="false">AF11+AF12</f>
        <v>64.8903879829201</v>
      </c>
      <c r="AG13" s="44" t="n">
        <f aca="false">AG11+AG12</f>
        <v>66.3244655573427</v>
      </c>
      <c r="AH13" s="44" t="n">
        <f aca="false">AH11+AH12</f>
        <v>67.7902362461599</v>
      </c>
      <c r="AI13" s="44" t="n">
        <f aca="false">AI11+AI12</f>
        <v>69.2884004672001</v>
      </c>
      <c r="AJ13" s="44" t="n">
        <f aca="false">AJ11+AJ12</f>
        <v>70.8196741175252</v>
      </c>
      <c r="AK13" s="44" t="n">
        <f aca="false">AK11+AK12</f>
        <v>72.3847889155225</v>
      </c>
      <c r="AL13" s="44" t="n">
        <f aca="false">AL11+AL12</f>
        <v>73.9844927505556</v>
      </c>
      <c r="AM13" s="44" t="n">
        <f aca="false">AM11+AM12</f>
        <v>75.6195500403428</v>
      </c>
      <c r="AN13" s="44" t="n">
        <f aca="false">AN11+AN12</f>
        <v>77.2907420962344</v>
      </c>
      <c r="AO13" s="44" t="n">
        <f aca="false">AO11+AO12</f>
        <v>78.9988674965612</v>
      </c>
      <c r="AP13" s="44" t="n">
        <f aca="false">AP11+AP12</f>
        <v>80.7447424682352</v>
      </c>
      <c r="AQ13" s="44" t="n">
        <f aca="false">AQ11+AQ12</f>
        <v>82.5292012767832</v>
      </c>
      <c r="AR13" s="44" t="n">
        <f aca="false">AR11+AR12</f>
        <v>84.3530966250001</v>
      </c>
      <c r="AS13" s="44" t="n">
        <f aca="false">AS11+AS12</f>
        <v>86.2173000604126</v>
      </c>
      <c r="AT13" s="44" t="n">
        <f aca="false">AT11+AT12</f>
        <v>88.1227023917477</v>
      </c>
      <c r="AU13" s="44" t="n">
        <f aca="false">AU11+AU12</f>
        <v>90.0702141146053</v>
      </c>
      <c r="AV13" s="44" t="n">
        <f aca="false">AV11+AV12</f>
        <v>92.0607658465381</v>
      </c>
      <c r="AW13" s="44" t="n">
        <f aca="false">AW11+AW12</f>
        <v>94.0953087717466</v>
      </c>
      <c r="AX13" s="44" t="n">
        <f aca="false">AX11+AX12</f>
        <v>96.1748150956022</v>
      </c>
      <c r="AY13" s="44" t="n">
        <f aca="false">AY11+AY12</f>
        <v>98.300278509215</v>
      </c>
      <c r="AZ13" s="44" t="n">
        <f aca="false">AZ11+AZ12</f>
        <v>100.472714664269</v>
      </c>
    </row>
    <row r="14" customFormat="false" ht="15" hidden="false" customHeight="true" outlineLevel="0" collapsed="false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customFormat="false" ht="15" hidden="false" customHeight="true" outlineLevel="0" collapsed="false">
      <c r="A15" s="11" t="s">
        <v>324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</row>
    <row r="16" customFormat="false" ht="15" hidden="false" customHeight="true" outlineLevel="0" collapsed="false">
      <c r="A16" s="13" t="s">
        <v>409</v>
      </c>
      <c r="B16" s="2"/>
      <c r="C16" s="2"/>
      <c r="D16" s="41" t="n">
        <f aca="false">IF((2026-Inputs!$B$9)&lt;2028,0,IF((2026-Inputs!$B$9)&gt;2040,Inputs!$B$86*(1+Inputs!$B$87)^((2026-Inputs!$B$9)-2040),_xlfn.IFS((2026-Inputs!$B$9)=2028,Inputs!$B$74,(2026-Inputs!$B$9)=2029,Inputs!$B$75,(2026-Inputs!$B$9)=2030,Inputs!$B$76,(2026-Inputs!$B$9)=2031,Inputs!$B$77,(2026-Inputs!$B$9)=2032,Inputs!$B$78,(2026-Inputs!$B$9)=2033,Inputs!$B$79,(2026-Inputs!$B$9)=2034,Inputs!$B$80,(2026-Inputs!$B$9)=2035,Inputs!$B$81,(2026-Inputs!$B$9)=2036,Inputs!$B$82,(2026-Inputs!$B$9)=2037,Inputs!$B$83,(2026-Inputs!$B$9)=2038,Inputs!$B$84,(2026-Inputs!$B$9)=2039,Inputs!$B$85,(2026-Inputs!$B$9)=2040,Inputs!$B$86)))</f>
        <v>0</v>
      </c>
      <c r="E16" s="41" t="n">
        <f aca="false">IF((2027-Inputs!$B$9)&lt;2028,0,IF((2027-Inputs!$B$9)&gt;2040,Inputs!$B$86*(1+Inputs!$B$87)^((2027-Inputs!$B$9)-2040),_xlfn.IFS((2027-Inputs!$B$9)=2028,Inputs!$B$74,(2027-Inputs!$B$9)=2029,Inputs!$B$75,(2027-Inputs!$B$9)=2030,Inputs!$B$76,(2027-Inputs!$B$9)=2031,Inputs!$B$77,(2027-Inputs!$B$9)=2032,Inputs!$B$78,(2027-Inputs!$B$9)=2033,Inputs!$B$79,(2027-Inputs!$B$9)=2034,Inputs!$B$80,(2027-Inputs!$B$9)=2035,Inputs!$B$81,(2027-Inputs!$B$9)=2036,Inputs!$B$82,(2027-Inputs!$B$9)=2037,Inputs!$B$83,(2027-Inputs!$B$9)=2038,Inputs!$B$84,(2027-Inputs!$B$9)=2039,Inputs!$B$85,(2027-Inputs!$B$9)=2040,Inputs!$B$86)))</f>
        <v>0</v>
      </c>
      <c r="F16" s="41" t="n">
        <f aca="false">IF((2028-Inputs!$B$9)&lt;2028,0,IF((2028-Inputs!$B$9)&gt;2040,Inputs!$B$86*(1+Inputs!$B$87)^((2028-Inputs!$B$9)-2040),_xlfn.IFS((2028-Inputs!$B$9)=2028,Inputs!$B$74,(2028-Inputs!$B$9)=2029,Inputs!$B$75,(2028-Inputs!$B$9)=2030,Inputs!$B$76,(2028-Inputs!$B$9)=2031,Inputs!$B$77,(2028-Inputs!$B$9)=2032,Inputs!$B$78,(2028-Inputs!$B$9)=2033,Inputs!$B$79,(2028-Inputs!$B$9)=2034,Inputs!$B$80,(2028-Inputs!$B$9)=2035,Inputs!$B$81,(2028-Inputs!$B$9)=2036,Inputs!$B$82,(2028-Inputs!$B$9)=2037,Inputs!$B$83,(2028-Inputs!$B$9)=2038,Inputs!$B$84,(2028-Inputs!$B$9)=2039,Inputs!$B$85,(2028-Inputs!$B$9)=2040,Inputs!$B$86)))</f>
        <v>78.93</v>
      </c>
      <c r="G16" s="41" t="n">
        <f aca="false">IF((2029-Inputs!$B$9)&lt;2028,0,IF((2029-Inputs!$B$9)&gt;2040,Inputs!$B$86*(1+Inputs!$B$87)^((2029-Inputs!$B$9)-2040),_xlfn.IFS((2029-Inputs!$B$9)=2028,Inputs!$B$74,(2029-Inputs!$B$9)=2029,Inputs!$B$75,(2029-Inputs!$B$9)=2030,Inputs!$B$76,(2029-Inputs!$B$9)=2031,Inputs!$B$77,(2029-Inputs!$B$9)=2032,Inputs!$B$78,(2029-Inputs!$B$9)=2033,Inputs!$B$79,(2029-Inputs!$B$9)=2034,Inputs!$B$80,(2029-Inputs!$B$9)=2035,Inputs!$B$81,(2029-Inputs!$B$9)=2036,Inputs!$B$82,(2029-Inputs!$B$9)=2037,Inputs!$B$83,(2029-Inputs!$B$9)=2038,Inputs!$B$84,(2029-Inputs!$B$9)=2039,Inputs!$B$85,(2029-Inputs!$B$9)=2040,Inputs!$B$86)))</f>
        <v>86.54</v>
      </c>
      <c r="H16" s="41" t="n">
        <f aca="false">IF((2030-Inputs!$B$9)&lt;2028,0,IF((2030-Inputs!$B$9)&gt;2040,Inputs!$B$86*(1+Inputs!$B$87)^((2030-Inputs!$B$9)-2040),_xlfn.IFS((2030-Inputs!$B$9)=2028,Inputs!$B$74,(2030-Inputs!$B$9)=2029,Inputs!$B$75,(2030-Inputs!$B$9)=2030,Inputs!$B$76,(2030-Inputs!$B$9)=2031,Inputs!$B$77,(2030-Inputs!$B$9)=2032,Inputs!$B$78,(2030-Inputs!$B$9)=2033,Inputs!$B$79,(2030-Inputs!$B$9)=2034,Inputs!$B$80,(2030-Inputs!$B$9)=2035,Inputs!$B$81,(2030-Inputs!$B$9)=2036,Inputs!$B$82,(2030-Inputs!$B$9)=2037,Inputs!$B$83,(2030-Inputs!$B$9)=2038,Inputs!$B$84,(2030-Inputs!$B$9)=2039,Inputs!$B$85,(2030-Inputs!$B$9)=2040,Inputs!$B$86)))</f>
        <v>90.42</v>
      </c>
      <c r="I16" s="41" t="n">
        <f aca="false">IF((2031-Inputs!$B$9)&lt;2028,0,IF((2031-Inputs!$B$9)&gt;2040,Inputs!$B$86*(1+Inputs!$B$87)^((2031-Inputs!$B$9)-2040),_xlfn.IFS((2031-Inputs!$B$9)=2028,Inputs!$B$74,(2031-Inputs!$B$9)=2029,Inputs!$B$75,(2031-Inputs!$B$9)=2030,Inputs!$B$76,(2031-Inputs!$B$9)=2031,Inputs!$B$77,(2031-Inputs!$B$9)=2032,Inputs!$B$78,(2031-Inputs!$B$9)=2033,Inputs!$B$79,(2031-Inputs!$B$9)=2034,Inputs!$B$80,(2031-Inputs!$B$9)=2035,Inputs!$B$81,(2031-Inputs!$B$9)=2036,Inputs!$B$82,(2031-Inputs!$B$9)=2037,Inputs!$B$83,(2031-Inputs!$B$9)=2038,Inputs!$B$84,(2031-Inputs!$B$9)=2039,Inputs!$B$85,(2031-Inputs!$B$9)=2040,Inputs!$B$86)))</f>
        <v>94.34</v>
      </c>
      <c r="J16" s="41" t="n">
        <f aca="false">IF((2032-Inputs!$B$9)&lt;2028,0,IF((2032-Inputs!$B$9)&gt;2040,Inputs!$B$86*(1+Inputs!$B$87)^((2032-Inputs!$B$9)-2040),_xlfn.IFS((2032-Inputs!$B$9)=2028,Inputs!$B$74,(2032-Inputs!$B$9)=2029,Inputs!$B$75,(2032-Inputs!$B$9)=2030,Inputs!$B$76,(2032-Inputs!$B$9)=2031,Inputs!$B$77,(2032-Inputs!$B$9)=2032,Inputs!$B$78,(2032-Inputs!$B$9)=2033,Inputs!$B$79,(2032-Inputs!$B$9)=2034,Inputs!$B$80,(2032-Inputs!$B$9)=2035,Inputs!$B$81,(2032-Inputs!$B$9)=2036,Inputs!$B$82,(2032-Inputs!$B$9)=2037,Inputs!$B$83,(2032-Inputs!$B$9)=2038,Inputs!$B$84,(2032-Inputs!$B$9)=2039,Inputs!$B$85,(2032-Inputs!$B$9)=2040,Inputs!$B$86)))</f>
        <v>104.9</v>
      </c>
      <c r="K16" s="41" t="n">
        <f aca="false">IF((2033-Inputs!$B$9)&lt;2028,0,IF((2033-Inputs!$B$9)&gt;2040,Inputs!$B$86*(1+Inputs!$B$87)^((2033-Inputs!$B$9)-2040),_xlfn.IFS((2033-Inputs!$B$9)=2028,Inputs!$B$74,(2033-Inputs!$B$9)=2029,Inputs!$B$75,(2033-Inputs!$B$9)=2030,Inputs!$B$76,(2033-Inputs!$B$9)=2031,Inputs!$B$77,(2033-Inputs!$B$9)=2032,Inputs!$B$78,(2033-Inputs!$B$9)=2033,Inputs!$B$79,(2033-Inputs!$B$9)=2034,Inputs!$B$80,(2033-Inputs!$B$9)=2035,Inputs!$B$81,(2033-Inputs!$B$9)=2036,Inputs!$B$82,(2033-Inputs!$B$9)=2037,Inputs!$B$83,(2033-Inputs!$B$9)=2038,Inputs!$B$84,(2033-Inputs!$B$9)=2039,Inputs!$B$85,(2033-Inputs!$B$9)=2040,Inputs!$B$86)))</f>
        <v>111.25</v>
      </c>
      <c r="L16" s="41" t="n">
        <f aca="false">IF((2034-Inputs!$B$9)&lt;2028,0,IF((2034-Inputs!$B$9)&gt;2040,Inputs!$B$86*(1+Inputs!$B$87)^((2034-Inputs!$B$9)-2040),_xlfn.IFS((2034-Inputs!$B$9)=2028,Inputs!$B$74,(2034-Inputs!$B$9)=2029,Inputs!$B$75,(2034-Inputs!$B$9)=2030,Inputs!$B$76,(2034-Inputs!$B$9)=2031,Inputs!$B$77,(2034-Inputs!$B$9)=2032,Inputs!$B$78,(2034-Inputs!$B$9)=2033,Inputs!$B$79,(2034-Inputs!$B$9)=2034,Inputs!$B$80,(2034-Inputs!$B$9)=2035,Inputs!$B$81,(2034-Inputs!$B$9)=2036,Inputs!$B$82,(2034-Inputs!$B$9)=2037,Inputs!$B$83,(2034-Inputs!$B$9)=2038,Inputs!$B$84,(2034-Inputs!$B$9)=2039,Inputs!$B$85,(2034-Inputs!$B$9)=2040,Inputs!$B$86)))</f>
        <v>118.05</v>
      </c>
      <c r="M16" s="41" t="n">
        <f aca="false">IF((2035-Inputs!$B$9)&lt;2028,0,IF((2035-Inputs!$B$9)&gt;2040,Inputs!$B$86*(1+Inputs!$B$87)^((2035-Inputs!$B$9)-2040),_xlfn.IFS((2035-Inputs!$B$9)=2028,Inputs!$B$74,(2035-Inputs!$B$9)=2029,Inputs!$B$75,(2035-Inputs!$B$9)=2030,Inputs!$B$76,(2035-Inputs!$B$9)=2031,Inputs!$B$77,(2035-Inputs!$B$9)=2032,Inputs!$B$78,(2035-Inputs!$B$9)=2033,Inputs!$B$79,(2035-Inputs!$B$9)=2034,Inputs!$B$80,(2035-Inputs!$B$9)=2035,Inputs!$B$81,(2035-Inputs!$B$9)=2036,Inputs!$B$82,(2035-Inputs!$B$9)=2037,Inputs!$B$83,(2035-Inputs!$B$9)=2038,Inputs!$B$84,(2035-Inputs!$B$9)=2039,Inputs!$B$85,(2035-Inputs!$B$9)=2040,Inputs!$B$86)))</f>
        <v>131.42</v>
      </c>
      <c r="N16" s="41" t="n">
        <f aca="false">IF((2036-Inputs!$B$9)&lt;2028,0,IF((2036-Inputs!$B$9)&gt;2040,Inputs!$B$86*(1+Inputs!$B$87)^((2036-Inputs!$B$9)-2040),_xlfn.IFS((2036-Inputs!$B$9)=2028,Inputs!$B$74,(2036-Inputs!$B$9)=2029,Inputs!$B$75,(2036-Inputs!$B$9)=2030,Inputs!$B$76,(2036-Inputs!$B$9)=2031,Inputs!$B$77,(2036-Inputs!$B$9)=2032,Inputs!$B$78,(2036-Inputs!$B$9)=2033,Inputs!$B$79,(2036-Inputs!$B$9)=2034,Inputs!$B$80,(2036-Inputs!$B$9)=2035,Inputs!$B$81,(2036-Inputs!$B$9)=2036,Inputs!$B$82,(2036-Inputs!$B$9)=2037,Inputs!$B$83,(2036-Inputs!$B$9)=2038,Inputs!$B$84,(2036-Inputs!$B$9)=2039,Inputs!$B$85,(2036-Inputs!$B$9)=2040,Inputs!$B$86)))</f>
        <v>138.21</v>
      </c>
      <c r="O16" s="41" t="n">
        <f aca="false">IF((2037-Inputs!$B$9)&lt;2028,0,IF((2037-Inputs!$B$9)&gt;2040,Inputs!$B$86*(1+Inputs!$B$87)^((2037-Inputs!$B$9)-2040),_xlfn.IFS((2037-Inputs!$B$9)=2028,Inputs!$B$74,(2037-Inputs!$B$9)=2029,Inputs!$B$75,(2037-Inputs!$B$9)=2030,Inputs!$B$76,(2037-Inputs!$B$9)=2031,Inputs!$B$77,(2037-Inputs!$B$9)=2032,Inputs!$B$78,(2037-Inputs!$B$9)=2033,Inputs!$B$79,(2037-Inputs!$B$9)=2034,Inputs!$B$80,(2037-Inputs!$B$9)=2035,Inputs!$B$81,(2037-Inputs!$B$9)=2036,Inputs!$B$82,(2037-Inputs!$B$9)=2037,Inputs!$B$83,(2037-Inputs!$B$9)=2038,Inputs!$B$84,(2037-Inputs!$B$9)=2039,Inputs!$B$85,(2037-Inputs!$B$9)=2040,Inputs!$B$86)))</f>
        <v>145.38</v>
      </c>
      <c r="P16" s="41" t="n">
        <f aca="false">IF((2038-Inputs!$B$9)&lt;2028,0,IF((2038-Inputs!$B$9)&gt;2040,Inputs!$B$86*(1+Inputs!$B$87)^((2038-Inputs!$B$9)-2040),_xlfn.IFS((2038-Inputs!$B$9)=2028,Inputs!$B$74,(2038-Inputs!$B$9)=2029,Inputs!$B$75,(2038-Inputs!$B$9)=2030,Inputs!$B$76,(2038-Inputs!$B$9)=2031,Inputs!$B$77,(2038-Inputs!$B$9)=2032,Inputs!$B$78,(2038-Inputs!$B$9)=2033,Inputs!$B$79,(2038-Inputs!$B$9)=2034,Inputs!$B$80,(2038-Inputs!$B$9)=2035,Inputs!$B$81,(2038-Inputs!$B$9)=2036,Inputs!$B$82,(2038-Inputs!$B$9)=2037,Inputs!$B$83,(2038-Inputs!$B$9)=2038,Inputs!$B$84,(2038-Inputs!$B$9)=2039,Inputs!$B$85,(2038-Inputs!$B$9)=2040,Inputs!$B$86)))</f>
        <v>159.79</v>
      </c>
      <c r="Q16" s="41" t="n">
        <f aca="false">IF((2039-Inputs!$B$9)&lt;2028,0,IF((2039-Inputs!$B$9)&gt;2040,Inputs!$B$86*(1+Inputs!$B$87)^((2039-Inputs!$B$9)-2040),_xlfn.IFS((2039-Inputs!$B$9)=2028,Inputs!$B$74,(2039-Inputs!$B$9)=2029,Inputs!$B$75,(2039-Inputs!$B$9)=2030,Inputs!$B$76,(2039-Inputs!$B$9)=2031,Inputs!$B$77,(2039-Inputs!$B$9)=2032,Inputs!$B$78,(2039-Inputs!$B$9)=2033,Inputs!$B$79,(2039-Inputs!$B$9)=2034,Inputs!$B$80,(2039-Inputs!$B$9)=2035,Inputs!$B$81,(2039-Inputs!$B$9)=2036,Inputs!$B$82,(2039-Inputs!$B$9)=2037,Inputs!$B$83,(2039-Inputs!$B$9)=2038,Inputs!$B$84,(2039-Inputs!$B$9)=2039,Inputs!$B$85,(2039-Inputs!$B$9)=2040,Inputs!$B$86)))</f>
        <v>167.46</v>
      </c>
      <c r="R16" s="41" t="n">
        <f aca="false">IF((2040-Inputs!$B$9)&lt;2028,0,IF((2040-Inputs!$B$9)&gt;2040,Inputs!$B$86*(1+Inputs!$B$87)^((2040-Inputs!$B$9)-2040),_xlfn.IFS((2040-Inputs!$B$9)=2028,Inputs!$B$74,(2040-Inputs!$B$9)=2029,Inputs!$B$75,(2040-Inputs!$B$9)=2030,Inputs!$B$76,(2040-Inputs!$B$9)=2031,Inputs!$B$77,(2040-Inputs!$B$9)=2032,Inputs!$B$78,(2040-Inputs!$B$9)=2033,Inputs!$B$79,(2040-Inputs!$B$9)=2034,Inputs!$B$80,(2040-Inputs!$B$9)=2035,Inputs!$B$81,(2040-Inputs!$B$9)=2036,Inputs!$B$82,(2040-Inputs!$B$9)=2037,Inputs!$B$83,(2040-Inputs!$B$9)=2038,Inputs!$B$84,(2040-Inputs!$B$9)=2039,Inputs!$B$85,(2040-Inputs!$B$9)=2040,Inputs!$B$86)))</f>
        <v>175.52</v>
      </c>
      <c r="S16" s="41" t="n">
        <f aca="false">IF((2041-Inputs!$B$9)&lt;2028,0,IF((2041-Inputs!$B$9)&gt;2040,Inputs!$B$86*(1+Inputs!$B$87)^((2041-Inputs!$B$9)-2040),_xlfn.IFS((2041-Inputs!$B$9)=2028,Inputs!$B$74,(2041-Inputs!$B$9)=2029,Inputs!$B$75,(2041-Inputs!$B$9)=2030,Inputs!$B$76,(2041-Inputs!$B$9)=2031,Inputs!$B$77,(2041-Inputs!$B$9)=2032,Inputs!$B$78,(2041-Inputs!$B$9)=2033,Inputs!$B$79,(2041-Inputs!$B$9)=2034,Inputs!$B$80,(2041-Inputs!$B$9)=2035,Inputs!$B$81,(2041-Inputs!$B$9)=2036,Inputs!$B$82,(2041-Inputs!$B$9)=2037,Inputs!$B$83,(2041-Inputs!$B$9)=2038,Inputs!$B$84,(2041-Inputs!$B$9)=2039,Inputs!$B$85,(2041-Inputs!$B$9)=2040,Inputs!$B$86)))</f>
        <v>179.908</v>
      </c>
      <c r="T16" s="41" t="n">
        <f aca="false">IF((2042-Inputs!$B$9)&lt;2028,0,IF((2042-Inputs!$B$9)&gt;2040,Inputs!$B$86*(1+Inputs!$B$87)^((2042-Inputs!$B$9)-2040),_xlfn.IFS((2042-Inputs!$B$9)=2028,Inputs!$B$74,(2042-Inputs!$B$9)=2029,Inputs!$B$75,(2042-Inputs!$B$9)=2030,Inputs!$B$76,(2042-Inputs!$B$9)=2031,Inputs!$B$77,(2042-Inputs!$B$9)=2032,Inputs!$B$78,(2042-Inputs!$B$9)=2033,Inputs!$B$79,(2042-Inputs!$B$9)=2034,Inputs!$B$80,(2042-Inputs!$B$9)=2035,Inputs!$B$81,(2042-Inputs!$B$9)=2036,Inputs!$B$82,(2042-Inputs!$B$9)=2037,Inputs!$B$83,(2042-Inputs!$B$9)=2038,Inputs!$B$84,(2042-Inputs!$B$9)=2039,Inputs!$B$85,(2042-Inputs!$B$9)=2040,Inputs!$B$86)))</f>
        <v>184.4057</v>
      </c>
      <c r="U16" s="41" t="n">
        <f aca="false">IF((2043-Inputs!$B$9)&lt;2028,0,IF((2043-Inputs!$B$9)&gt;2040,Inputs!$B$86*(1+Inputs!$B$87)^((2043-Inputs!$B$9)-2040),_xlfn.IFS((2043-Inputs!$B$9)=2028,Inputs!$B$74,(2043-Inputs!$B$9)=2029,Inputs!$B$75,(2043-Inputs!$B$9)=2030,Inputs!$B$76,(2043-Inputs!$B$9)=2031,Inputs!$B$77,(2043-Inputs!$B$9)=2032,Inputs!$B$78,(2043-Inputs!$B$9)=2033,Inputs!$B$79,(2043-Inputs!$B$9)=2034,Inputs!$B$80,(2043-Inputs!$B$9)=2035,Inputs!$B$81,(2043-Inputs!$B$9)=2036,Inputs!$B$82,(2043-Inputs!$B$9)=2037,Inputs!$B$83,(2043-Inputs!$B$9)=2038,Inputs!$B$84,(2043-Inputs!$B$9)=2039,Inputs!$B$85,(2043-Inputs!$B$9)=2040,Inputs!$B$86)))</f>
        <v>189.0158425</v>
      </c>
      <c r="V16" s="41" t="n">
        <f aca="false">IF((2044-Inputs!$B$9)&lt;2028,0,IF((2044-Inputs!$B$9)&gt;2040,Inputs!$B$86*(1+Inputs!$B$87)^((2044-Inputs!$B$9)-2040),_xlfn.IFS((2044-Inputs!$B$9)=2028,Inputs!$B$74,(2044-Inputs!$B$9)=2029,Inputs!$B$75,(2044-Inputs!$B$9)=2030,Inputs!$B$76,(2044-Inputs!$B$9)=2031,Inputs!$B$77,(2044-Inputs!$B$9)=2032,Inputs!$B$78,(2044-Inputs!$B$9)=2033,Inputs!$B$79,(2044-Inputs!$B$9)=2034,Inputs!$B$80,(2044-Inputs!$B$9)=2035,Inputs!$B$81,(2044-Inputs!$B$9)=2036,Inputs!$B$82,(2044-Inputs!$B$9)=2037,Inputs!$B$83,(2044-Inputs!$B$9)=2038,Inputs!$B$84,(2044-Inputs!$B$9)=2039,Inputs!$B$85,(2044-Inputs!$B$9)=2040,Inputs!$B$86)))</f>
        <v>193.7412385625</v>
      </c>
      <c r="W16" s="41" t="n">
        <f aca="false">IF((2045-Inputs!$B$9)&lt;2028,0,IF((2045-Inputs!$B$9)&gt;2040,Inputs!$B$86*(1+Inputs!$B$87)^((2045-Inputs!$B$9)-2040),_xlfn.IFS((2045-Inputs!$B$9)=2028,Inputs!$B$74,(2045-Inputs!$B$9)=2029,Inputs!$B$75,(2045-Inputs!$B$9)=2030,Inputs!$B$76,(2045-Inputs!$B$9)=2031,Inputs!$B$77,(2045-Inputs!$B$9)=2032,Inputs!$B$78,(2045-Inputs!$B$9)=2033,Inputs!$B$79,(2045-Inputs!$B$9)=2034,Inputs!$B$80,(2045-Inputs!$B$9)=2035,Inputs!$B$81,(2045-Inputs!$B$9)=2036,Inputs!$B$82,(2045-Inputs!$B$9)=2037,Inputs!$B$83,(2045-Inputs!$B$9)=2038,Inputs!$B$84,(2045-Inputs!$B$9)=2039,Inputs!$B$85,(2045-Inputs!$B$9)=2040,Inputs!$B$86)))</f>
        <v>198.584769526562</v>
      </c>
      <c r="X16" s="41" t="n">
        <f aca="false">IF((2046-Inputs!$B$9)&lt;2028,0,IF((2046-Inputs!$B$9)&gt;2040,Inputs!$B$86*(1+Inputs!$B$87)^((2046-Inputs!$B$9)-2040),_xlfn.IFS((2046-Inputs!$B$9)=2028,Inputs!$B$74,(2046-Inputs!$B$9)=2029,Inputs!$B$75,(2046-Inputs!$B$9)=2030,Inputs!$B$76,(2046-Inputs!$B$9)=2031,Inputs!$B$77,(2046-Inputs!$B$9)=2032,Inputs!$B$78,(2046-Inputs!$B$9)=2033,Inputs!$B$79,(2046-Inputs!$B$9)=2034,Inputs!$B$80,(2046-Inputs!$B$9)=2035,Inputs!$B$81,(2046-Inputs!$B$9)=2036,Inputs!$B$82,(2046-Inputs!$B$9)=2037,Inputs!$B$83,(2046-Inputs!$B$9)=2038,Inputs!$B$84,(2046-Inputs!$B$9)=2039,Inputs!$B$85,(2046-Inputs!$B$9)=2040,Inputs!$B$86)))</f>
        <v>203.549388764726</v>
      </c>
      <c r="Y16" s="41" t="n">
        <f aca="false">IF((2047-Inputs!$B$9)&lt;2028,0,IF((2047-Inputs!$B$9)&gt;2040,Inputs!$B$86*(1+Inputs!$B$87)^((2047-Inputs!$B$9)-2040),_xlfn.IFS((2047-Inputs!$B$9)=2028,Inputs!$B$74,(2047-Inputs!$B$9)=2029,Inputs!$B$75,(2047-Inputs!$B$9)=2030,Inputs!$B$76,(2047-Inputs!$B$9)=2031,Inputs!$B$77,(2047-Inputs!$B$9)=2032,Inputs!$B$78,(2047-Inputs!$B$9)=2033,Inputs!$B$79,(2047-Inputs!$B$9)=2034,Inputs!$B$80,(2047-Inputs!$B$9)=2035,Inputs!$B$81,(2047-Inputs!$B$9)=2036,Inputs!$B$82,(2047-Inputs!$B$9)=2037,Inputs!$B$83,(2047-Inputs!$B$9)=2038,Inputs!$B$84,(2047-Inputs!$B$9)=2039,Inputs!$B$85,(2047-Inputs!$B$9)=2040,Inputs!$B$86)))</f>
        <v>208.638123483845</v>
      </c>
      <c r="Z16" s="41" t="n">
        <f aca="false">IF((2048-Inputs!$B$9)&lt;2028,0,IF((2048-Inputs!$B$9)&gt;2040,Inputs!$B$86*(1+Inputs!$B$87)^((2048-Inputs!$B$9)-2040),_xlfn.IFS((2048-Inputs!$B$9)=2028,Inputs!$B$74,(2048-Inputs!$B$9)=2029,Inputs!$B$75,(2048-Inputs!$B$9)=2030,Inputs!$B$76,(2048-Inputs!$B$9)=2031,Inputs!$B$77,(2048-Inputs!$B$9)=2032,Inputs!$B$78,(2048-Inputs!$B$9)=2033,Inputs!$B$79,(2048-Inputs!$B$9)=2034,Inputs!$B$80,(2048-Inputs!$B$9)=2035,Inputs!$B$81,(2048-Inputs!$B$9)=2036,Inputs!$B$82,(2048-Inputs!$B$9)=2037,Inputs!$B$83,(2048-Inputs!$B$9)=2038,Inputs!$B$84,(2048-Inputs!$B$9)=2039,Inputs!$B$85,(2048-Inputs!$B$9)=2040,Inputs!$B$86)))</f>
        <v>213.854076570941</v>
      </c>
      <c r="AA16" s="41" t="n">
        <f aca="false">IF((2049-Inputs!$B$9)&lt;2028,0,IF((2049-Inputs!$B$9)&gt;2040,Inputs!$B$86*(1+Inputs!$B$87)^((2049-Inputs!$B$9)-2040),_xlfn.IFS((2049-Inputs!$B$9)=2028,Inputs!$B$74,(2049-Inputs!$B$9)=2029,Inputs!$B$75,(2049-Inputs!$B$9)=2030,Inputs!$B$76,(2049-Inputs!$B$9)=2031,Inputs!$B$77,(2049-Inputs!$B$9)=2032,Inputs!$B$78,(2049-Inputs!$B$9)=2033,Inputs!$B$79,(2049-Inputs!$B$9)=2034,Inputs!$B$80,(2049-Inputs!$B$9)=2035,Inputs!$B$81,(2049-Inputs!$B$9)=2036,Inputs!$B$82,(2049-Inputs!$B$9)=2037,Inputs!$B$83,(2049-Inputs!$B$9)=2038,Inputs!$B$84,(2049-Inputs!$B$9)=2039,Inputs!$B$85,(2049-Inputs!$B$9)=2040,Inputs!$B$86)))</f>
        <v>219.200428485214</v>
      </c>
      <c r="AB16" s="41" t="n">
        <f aca="false">IF((2050-Inputs!$B$9)&lt;2028,0,IF((2050-Inputs!$B$9)&gt;2040,Inputs!$B$86*(1+Inputs!$B$87)^((2050-Inputs!$B$9)-2040),_xlfn.IFS((2050-Inputs!$B$9)=2028,Inputs!$B$74,(2050-Inputs!$B$9)=2029,Inputs!$B$75,(2050-Inputs!$B$9)=2030,Inputs!$B$76,(2050-Inputs!$B$9)=2031,Inputs!$B$77,(2050-Inputs!$B$9)=2032,Inputs!$B$78,(2050-Inputs!$B$9)=2033,Inputs!$B$79,(2050-Inputs!$B$9)=2034,Inputs!$B$80,(2050-Inputs!$B$9)=2035,Inputs!$B$81,(2050-Inputs!$B$9)=2036,Inputs!$B$82,(2050-Inputs!$B$9)=2037,Inputs!$B$83,(2050-Inputs!$B$9)=2038,Inputs!$B$84,(2050-Inputs!$B$9)=2039,Inputs!$B$85,(2050-Inputs!$B$9)=2040,Inputs!$B$86)))</f>
        <v>224.680439197345</v>
      </c>
      <c r="AC16" s="41" t="n">
        <f aca="false">IF((2051-Inputs!$B$9)&lt;2028,0,IF((2051-Inputs!$B$9)&gt;2040,Inputs!$B$86*(1+Inputs!$B$87)^((2051-Inputs!$B$9)-2040),_xlfn.IFS((2051-Inputs!$B$9)=2028,Inputs!$B$74,(2051-Inputs!$B$9)=2029,Inputs!$B$75,(2051-Inputs!$B$9)=2030,Inputs!$B$76,(2051-Inputs!$B$9)=2031,Inputs!$B$77,(2051-Inputs!$B$9)=2032,Inputs!$B$78,(2051-Inputs!$B$9)=2033,Inputs!$B$79,(2051-Inputs!$B$9)=2034,Inputs!$B$80,(2051-Inputs!$B$9)=2035,Inputs!$B$81,(2051-Inputs!$B$9)=2036,Inputs!$B$82,(2051-Inputs!$B$9)=2037,Inputs!$B$83,(2051-Inputs!$B$9)=2038,Inputs!$B$84,(2051-Inputs!$B$9)=2039,Inputs!$B$85,(2051-Inputs!$B$9)=2040,Inputs!$B$86)))</f>
        <v>230.297450177278</v>
      </c>
      <c r="AD16" s="41" t="n">
        <f aca="false">IF((2052-Inputs!$B$9)&lt;2028,0,IF((2052-Inputs!$B$9)&gt;2040,Inputs!$B$86*(1+Inputs!$B$87)^((2052-Inputs!$B$9)-2040),_xlfn.IFS((2052-Inputs!$B$9)=2028,Inputs!$B$74,(2052-Inputs!$B$9)=2029,Inputs!$B$75,(2052-Inputs!$B$9)=2030,Inputs!$B$76,(2052-Inputs!$B$9)=2031,Inputs!$B$77,(2052-Inputs!$B$9)=2032,Inputs!$B$78,(2052-Inputs!$B$9)=2033,Inputs!$B$79,(2052-Inputs!$B$9)=2034,Inputs!$B$80,(2052-Inputs!$B$9)=2035,Inputs!$B$81,(2052-Inputs!$B$9)=2036,Inputs!$B$82,(2052-Inputs!$B$9)=2037,Inputs!$B$83,(2052-Inputs!$B$9)=2038,Inputs!$B$84,(2052-Inputs!$B$9)=2039,Inputs!$B$85,(2052-Inputs!$B$9)=2040,Inputs!$B$86)))</f>
        <v>236.05488643171</v>
      </c>
      <c r="AE16" s="41" t="n">
        <f aca="false">IF((2053-Inputs!$B$9)&lt;2028,0,IF((2053-Inputs!$B$9)&gt;2040,Inputs!$B$86*(1+Inputs!$B$87)^((2053-Inputs!$B$9)-2040),_xlfn.IFS((2053-Inputs!$B$9)=2028,Inputs!$B$74,(2053-Inputs!$B$9)=2029,Inputs!$B$75,(2053-Inputs!$B$9)=2030,Inputs!$B$76,(2053-Inputs!$B$9)=2031,Inputs!$B$77,(2053-Inputs!$B$9)=2032,Inputs!$B$78,(2053-Inputs!$B$9)=2033,Inputs!$B$79,(2053-Inputs!$B$9)=2034,Inputs!$B$80,(2053-Inputs!$B$9)=2035,Inputs!$B$81,(2053-Inputs!$B$9)=2036,Inputs!$B$82,(2053-Inputs!$B$9)=2037,Inputs!$B$83,(2053-Inputs!$B$9)=2038,Inputs!$B$84,(2053-Inputs!$B$9)=2039,Inputs!$B$85,(2053-Inputs!$B$9)=2040,Inputs!$B$86)))</f>
        <v>241.956258592503</v>
      </c>
      <c r="AF16" s="41" t="n">
        <f aca="false">IF((2054-Inputs!$B$9)&lt;2028,0,IF((2054-Inputs!$B$9)&gt;2040,Inputs!$B$86*(1+Inputs!$B$87)^((2054-Inputs!$B$9)-2040),_xlfn.IFS((2054-Inputs!$B$9)=2028,Inputs!$B$74,(2054-Inputs!$B$9)=2029,Inputs!$B$75,(2054-Inputs!$B$9)=2030,Inputs!$B$76,(2054-Inputs!$B$9)=2031,Inputs!$B$77,(2054-Inputs!$B$9)=2032,Inputs!$B$78,(2054-Inputs!$B$9)=2033,Inputs!$B$79,(2054-Inputs!$B$9)=2034,Inputs!$B$80,(2054-Inputs!$B$9)=2035,Inputs!$B$81,(2054-Inputs!$B$9)=2036,Inputs!$B$82,(2054-Inputs!$B$9)=2037,Inputs!$B$83,(2054-Inputs!$B$9)=2038,Inputs!$B$84,(2054-Inputs!$B$9)=2039,Inputs!$B$85,(2054-Inputs!$B$9)=2040,Inputs!$B$86)))</f>
        <v>248.005165057315</v>
      </c>
      <c r="AG16" s="41" t="n">
        <f aca="false">IF((2055-Inputs!$B$9)&lt;2028,0,IF((2055-Inputs!$B$9)&gt;2040,Inputs!$B$86*(1+Inputs!$B$87)^((2055-Inputs!$B$9)-2040),_xlfn.IFS((2055-Inputs!$B$9)=2028,Inputs!$B$74,(2055-Inputs!$B$9)=2029,Inputs!$B$75,(2055-Inputs!$B$9)=2030,Inputs!$B$76,(2055-Inputs!$B$9)=2031,Inputs!$B$77,(2055-Inputs!$B$9)=2032,Inputs!$B$78,(2055-Inputs!$B$9)=2033,Inputs!$B$79,(2055-Inputs!$B$9)=2034,Inputs!$B$80,(2055-Inputs!$B$9)=2035,Inputs!$B$81,(2055-Inputs!$B$9)=2036,Inputs!$B$82,(2055-Inputs!$B$9)=2037,Inputs!$B$83,(2055-Inputs!$B$9)=2038,Inputs!$B$84,(2055-Inputs!$B$9)=2039,Inputs!$B$85,(2055-Inputs!$B$9)=2040,Inputs!$B$86)))</f>
        <v>254.205294183748</v>
      </c>
      <c r="AH16" s="41" t="n">
        <f aca="false">IF((2056-Inputs!$B$9)&lt;2028,0,IF((2056-Inputs!$B$9)&gt;2040,Inputs!$B$86*(1+Inputs!$B$87)^((2056-Inputs!$B$9)-2040),_xlfn.IFS((2056-Inputs!$B$9)=2028,Inputs!$B$74,(2056-Inputs!$B$9)=2029,Inputs!$B$75,(2056-Inputs!$B$9)=2030,Inputs!$B$76,(2056-Inputs!$B$9)=2031,Inputs!$B$77,(2056-Inputs!$B$9)=2032,Inputs!$B$78,(2056-Inputs!$B$9)=2033,Inputs!$B$79,(2056-Inputs!$B$9)=2034,Inputs!$B$80,(2056-Inputs!$B$9)=2035,Inputs!$B$81,(2056-Inputs!$B$9)=2036,Inputs!$B$82,(2056-Inputs!$B$9)=2037,Inputs!$B$83,(2056-Inputs!$B$9)=2038,Inputs!$B$84,(2056-Inputs!$B$9)=2039,Inputs!$B$85,(2056-Inputs!$B$9)=2040,Inputs!$B$86)))</f>
        <v>260.560426538342</v>
      </c>
      <c r="AI16" s="41" t="n">
        <f aca="false">IF((2057-Inputs!$B$9)&lt;2028,0,IF((2057-Inputs!$B$9)&gt;2040,Inputs!$B$86*(1+Inputs!$B$87)^((2057-Inputs!$B$9)-2040),_xlfn.IFS((2057-Inputs!$B$9)=2028,Inputs!$B$74,(2057-Inputs!$B$9)=2029,Inputs!$B$75,(2057-Inputs!$B$9)=2030,Inputs!$B$76,(2057-Inputs!$B$9)=2031,Inputs!$B$77,(2057-Inputs!$B$9)=2032,Inputs!$B$78,(2057-Inputs!$B$9)=2033,Inputs!$B$79,(2057-Inputs!$B$9)=2034,Inputs!$B$80,(2057-Inputs!$B$9)=2035,Inputs!$B$81,(2057-Inputs!$B$9)=2036,Inputs!$B$82,(2057-Inputs!$B$9)=2037,Inputs!$B$83,(2057-Inputs!$B$9)=2038,Inputs!$B$84,(2057-Inputs!$B$9)=2039,Inputs!$B$85,(2057-Inputs!$B$9)=2040,Inputs!$B$86)))</f>
        <v>267.0744372018</v>
      </c>
      <c r="AJ16" s="41" t="n">
        <f aca="false">IF((2058-Inputs!$B$9)&lt;2028,0,IF((2058-Inputs!$B$9)&gt;2040,Inputs!$B$86*(1+Inputs!$B$87)^((2058-Inputs!$B$9)-2040),_xlfn.IFS((2058-Inputs!$B$9)=2028,Inputs!$B$74,(2058-Inputs!$B$9)=2029,Inputs!$B$75,(2058-Inputs!$B$9)=2030,Inputs!$B$76,(2058-Inputs!$B$9)=2031,Inputs!$B$77,(2058-Inputs!$B$9)=2032,Inputs!$B$78,(2058-Inputs!$B$9)=2033,Inputs!$B$79,(2058-Inputs!$B$9)=2034,Inputs!$B$80,(2058-Inputs!$B$9)=2035,Inputs!$B$81,(2058-Inputs!$B$9)=2036,Inputs!$B$82,(2058-Inputs!$B$9)=2037,Inputs!$B$83,(2058-Inputs!$B$9)=2038,Inputs!$B$84,(2058-Inputs!$B$9)=2039,Inputs!$B$85,(2058-Inputs!$B$9)=2040,Inputs!$B$86)))</f>
        <v>273.751298131845</v>
      </c>
      <c r="AK16" s="41" t="n">
        <f aca="false">IF((2059-Inputs!$B$9)&lt;2028,0,IF((2059-Inputs!$B$9)&gt;2040,Inputs!$B$86*(1+Inputs!$B$87)^((2059-Inputs!$B$9)-2040),_xlfn.IFS((2059-Inputs!$B$9)=2028,Inputs!$B$74,(2059-Inputs!$B$9)=2029,Inputs!$B$75,(2059-Inputs!$B$9)=2030,Inputs!$B$76,(2059-Inputs!$B$9)=2031,Inputs!$B$77,(2059-Inputs!$B$9)=2032,Inputs!$B$78,(2059-Inputs!$B$9)=2033,Inputs!$B$79,(2059-Inputs!$B$9)=2034,Inputs!$B$80,(2059-Inputs!$B$9)=2035,Inputs!$B$81,(2059-Inputs!$B$9)=2036,Inputs!$B$82,(2059-Inputs!$B$9)=2037,Inputs!$B$83,(2059-Inputs!$B$9)=2038,Inputs!$B$84,(2059-Inputs!$B$9)=2039,Inputs!$B$85,(2059-Inputs!$B$9)=2040,Inputs!$B$86)))</f>
        <v>280.595080585142</v>
      </c>
      <c r="AL16" s="41" t="n">
        <f aca="false">IF((2060-Inputs!$B$9)&lt;2028,0,IF((2060-Inputs!$B$9)&gt;2040,Inputs!$B$86*(1+Inputs!$B$87)^((2060-Inputs!$B$9)-2040),_xlfn.IFS((2060-Inputs!$B$9)=2028,Inputs!$B$74,(2060-Inputs!$B$9)=2029,Inputs!$B$75,(2060-Inputs!$B$9)=2030,Inputs!$B$76,(2060-Inputs!$B$9)=2031,Inputs!$B$77,(2060-Inputs!$B$9)=2032,Inputs!$B$78,(2060-Inputs!$B$9)=2033,Inputs!$B$79,(2060-Inputs!$B$9)=2034,Inputs!$B$80,(2060-Inputs!$B$9)=2035,Inputs!$B$81,(2060-Inputs!$B$9)=2036,Inputs!$B$82,(2060-Inputs!$B$9)=2037,Inputs!$B$83,(2060-Inputs!$B$9)=2038,Inputs!$B$84,(2060-Inputs!$B$9)=2039,Inputs!$B$85,(2060-Inputs!$B$9)=2040,Inputs!$B$86)))</f>
        <v>287.60995759977</v>
      </c>
      <c r="AM16" s="41" t="n">
        <f aca="false">IF((2061-Inputs!$B$9)&lt;2028,0,IF((2061-Inputs!$B$9)&gt;2040,Inputs!$B$86*(1+Inputs!$B$87)^((2061-Inputs!$B$9)-2040),_xlfn.IFS((2061-Inputs!$B$9)=2028,Inputs!$B$74,(2061-Inputs!$B$9)=2029,Inputs!$B$75,(2061-Inputs!$B$9)=2030,Inputs!$B$76,(2061-Inputs!$B$9)=2031,Inputs!$B$77,(2061-Inputs!$B$9)=2032,Inputs!$B$78,(2061-Inputs!$B$9)=2033,Inputs!$B$79,(2061-Inputs!$B$9)=2034,Inputs!$B$80,(2061-Inputs!$B$9)=2035,Inputs!$B$81,(2061-Inputs!$B$9)=2036,Inputs!$B$82,(2061-Inputs!$B$9)=2037,Inputs!$B$83,(2061-Inputs!$B$9)=2038,Inputs!$B$84,(2061-Inputs!$B$9)=2039,Inputs!$B$85,(2061-Inputs!$B$9)=2040,Inputs!$B$86)))</f>
        <v>294.800206539764</v>
      </c>
      <c r="AN16" s="41" t="n">
        <f aca="false">IF((2062-Inputs!$B$9)&lt;2028,0,IF((2062-Inputs!$B$9)&gt;2040,Inputs!$B$86*(1+Inputs!$B$87)^((2062-Inputs!$B$9)-2040),_xlfn.IFS((2062-Inputs!$B$9)=2028,Inputs!$B$74,(2062-Inputs!$B$9)=2029,Inputs!$B$75,(2062-Inputs!$B$9)=2030,Inputs!$B$76,(2062-Inputs!$B$9)=2031,Inputs!$B$77,(2062-Inputs!$B$9)=2032,Inputs!$B$78,(2062-Inputs!$B$9)=2033,Inputs!$B$79,(2062-Inputs!$B$9)=2034,Inputs!$B$80,(2062-Inputs!$B$9)=2035,Inputs!$B$81,(2062-Inputs!$B$9)=2036,Inputs!$B$82,(2062-Inputs!$B$9)=2037,Inputs!$B$83,(2062-Inputs!$B$9)=2038,Inputs!$B$84,(2062-Inputs!$B$9)=2039,Inputs!$B$85,(2062-Inputs!$B$9)=2040,Inputs!$B$86)))</f>
        <v>302.170211703258</v>
      </c>
      <c r="AO16" s="41" t="n">
        <f aca="false">IF((2063-Inputs!$B$9)&lt;2028,0,IF((2063-Inputs!$B$9)&gt;2040,Inputs!$B$86*(1+Inputs!$B$87)^((2063-Inputs!$B$9)-2040),_xlfn.IFS((2063-Inputs!$B$9)=2028,Inputs!$B$74,(2063-Inputs!$B$9)=2029,Inputs!$B$75,(2063-Inputs!$B$9)=2030,Inputs!$B$76,(2063-Inputs!$B$9)=2031,Inputs!$B$77,(2063-Inputs!$B$9)=2032,Inputs!$B$78,(2063-Inputs!$B$9)=2033,Inputs!$B$79,(2063-Inputs!$B$9)=2034,Inputs!$B$80,(2063-Inputs!$B$9)=2035,Inputs!$B$81,(2063-Inputs!$B$9)=2036,Inputs!$B$82,(2063-Inputs!$B$9)=2037,Inputs!$B$83,(2063-Inputs!$B$9)=2038,Inputs!$B$84,(2063-Inputs!$B$9)=2039,Inputs!$B$85,(2063-Inputs!$B$9)=2040,Inputs!$B$86)))</f>
        <v>309.72446699584</v>
      </c>
      <c r="AP16" s="41" t="n">
        <f aca="false">IF((2064-Inputs!$B$9)&lt;2028,0,IF((2064-Inputs!$B$9)&gt;2040,Inputs!$B$86*(1+Inputs!$B$87)^((2064-Inputs!$B$9)-2040),_xlfn.IFS((2064-Inputs!$B$9)=2028,Inputs!$B$74,(2064-Inputs!$B$9)=2029,Inputs!$B$75,(2064-Inputs!$B$9)=2030,Inputs!$B$76,(2064-Inputs!$B$9)=2031,Inputs!$B$77,(2064-Inputs!$B$9)=2032,Inputs!$B$78,(2064-Inputs!$B$9)=2033,Inputs!$B$79,(2064-Inputs!$B$9)=2034,Inputs!$B$80,(2064-Inputs!$B$9)=2035,Inputs!$B$81,(2064-Inputs!$B$9)=2036,Inputs!$B$82,(2064-Inputs!$B$9)=2037,Inputs!$B$83,(2064-Inputs!$B$9)=2038,Inputs!$B$84,(2064-Inputs!$B$9)=2039,Inputs!$B$85,(2064-Inputs!$B$9)=2040,Inputs!$B$86)))</f>
        <v>317.467578670736</v>
      </c>
      <c r="AQ16" s="41" t="n">
        <f aca="false">IF((2065-Inputs!$B$9)&lt;2028,0,IF((2065-Inputs!$B$9)&gt;2040,Inputs!$B$86*(1+Inputs!$B$87)^((2065-Inputs!$B$9)-2040),_xlfn.IFS((2065-Inputs!$B$9)=2028,Inputs!$B$74,(2065-Inputs!$B$9)=2029,Inputs!$B$75,(2065-Inputs!$B$9)=2030,Inputs!$B$76,(2065-Inputs!$B$9)=2031,Inputs!$B$77,(2065-Inputs!$B$9)=2032,Inputs!$B$78,(2065-Inputs!$B$9)=2033,Inputs!$B$79,(2065-Inputs!$B$9)=2034,Inputs!$B$80,(2065-Inputs!$B$9)=2035,Inputs!$B$81,(2065-Inputs!$B$9)=2036,Inputs!$B$82,(2065-Inputs!$B$9)=2037,Inputs!$B$83,(2065-Inputs!$B$9)=2038,Inputs!$B$84,(2065-Inputs!$B$9)=2039,Inputs!$B$85,(2065-Inputs!$B$9)=2040,Inputs!$B$86)))</f>
        <v>325.404268137504</v>
      </c>
      <c r="AR16" s="41" t="n">
        <f aca="false">IF((2066-Inputs!$B$9)&lt;2028,0,IF((2066-Inputs!$B$9)&gt;2040,Inputs!$B$86*(1+Inputs!$B$87)^((2066-Inputs!$B$9)-2040),_xlfn.IFS((2066-Inputs!$B$9)=2028,Inputs!$B$74,(2066-Inputs!$B$9)=2029,Inputs!$B$75,(2066-Inputs!$B$9)=2030,Inputs!$B$76,(2066-Inputs!$B$9)=2031,Inputs!$B$77,(2066-Inputs!$B$9)=2032,Inputs!$B$78,(2066-Inputs!$B$9)=2033,Inputs!$B$79,(2066-Inputs!$B$9)=2034,Inputs!$B$80,(2066-Inputs!$B$9)=2035,Inputs!$B$81,(2066-Inputs!$B$9)=2036,Inputs!$B$82,(2066-Inputs!$B$9)=2037,Inputs!$B$83,(2066-Inputs!$B$9)=2038,Inputs!$B$84,(2066-Inputs!$B$9)=2039,Inputs!$B$85,(2066-Inputs!$B$9)=2040,Inputs!$B$86)))</f>
        <v>333.539374840942</v>
      </c>
      <c r="AS16" s="41" t="n">
        <f aca="false">IF((2067-Inputs!$B$9)&lt;2028,0,IF((2067-Inputs!$B$9)&gt;2040,Inputs!$B$86*(1+Inputs!$B$87)^((2067-Inputs!$B$9)-2040),_xlfn.IFS((2067-Inputs!$B$9)=2028,Inputs!$B$74,(2067-Inputs!$B$9)=2029,Inputs!$B$75,(2067-Inputs!$B$9)=2030,Inputs!$B$76,(2067-Inputs!$B$9)=2031,Inputs!$B$77,(2067-Inputs!$B$9)=2032,Inputs!$B$78,(2067-Inputs!$B$9)=2033,Inputs!$B$79,(2067-Inputs!$B$9)=2034,Inputs!$B$80,(2067-Inputs!$B$9)=2035,Inputs!$B$81,(2067-Inputs!$B$9)=2036,Inputs!$B$82,(2067-Inputs!$B$9)=2037,Inputs!$B$83,(2067-Inputs!$B$9)=2038,Inputs!$B$84,(2067-Inputs!$B$9)=2039,Inputs!$B$85,(2067-Inputs!$B$9)=2040,Inputs!$B$86)))</f>
        <v>341.877859211965</v>
      </c>
      <c r="AT16" s="41" t="n">
        <f aca="false">IF((2068-Inputs!$B$9)&lt;2028,0,IF((2068-Inputs!$B$9)&gt;2040,Inputs!$B$86*(1+Inputs!$B$87)^((2068-Inputs!$B$9)-2040),_xlfn.IFS((2068-Inputs!$B$9)=2028,Inputs!$B$74,(2068-Inputs!$B$9)=2029,Inputs!$B$75,(2068-Inputs!$B$9)=2030,Inputs!$B$76,(2068-Inputs!$B$9)=2031,Inputs!$B$77,(2068-Inputs!$B$9)=2032,Inputs!$B$78,(2068-Inputs!$B$9)=2033,Inputs!$B$79,(2068-Inputs!$B$9)=2034,Inputs!$B$80,(2068-Inputs!$B$9)=2035,Inputs!$B$81,(2068-Inputs!$B$9)=2036,Inputs!$B$82,(2068-Inputs!$B$9)=2037,Inputs!$B$83,(2068-Inputs!$B$9)=2038,Inputs!$B$84,(2068-Inputs!$B$9)=2039,Inputs!$B$85,(2068-Inputs!$B$9)=2040,Inputs!$B$86)))</f>
        <v>350.424805692264</v>
      </c>
      <c r="AU16" s="41" t="n">
        <f aca="false">IF((2069-Inputs!$B$9)&lt;2028,0,IF((2069-Inputs!$B$9)&gt;2040,Inputs!$B$86*(1+Inputs!$B$87)^((2069-Inputs!$B$9)-2040),_xlfn.IFS((2069-Inputs!$B$9)=2028,Inputs!$B$74,(2069-Inputs!$B$9)=2029,Inputs!$B$75,(2069-Inputs!$B$9)=2030,Inputs!$B$76,(2069-Inputs!$B$9)=2031,Inputs!$B$77,(2069-Inputs!$B$9)=2032,Inputs!$B$78,(2069-Inputs!$B$9)=2033,Inputs!$B$79,(2069-Inputs!$B$9)=2034,Inputs!$B$80,(2069-Inputs!$B$9)=2035,Inputs!$B$81,(2069-Inputs!$B$9)=2036,Inputs!$B$82,(2069-Inputs!$B$9)=2037,Inputs!$B$83,(2069-Inputs!$B$9)=2038,Inputs!$B$84,(2069-Inputs!$B$9)=2039,Inputs!$B$85,(2069-Inputs!$B$9)=2040,Inputs!$B$86)))</f>
        <v>359.185425834571</v>
      </c>
      <c r="AV16" s="41" t="n">
        <f aca="false">IF((2070-Inputs!$B$9)&lt;2028,0,IF((2070-Inputs!$B$9)&gt;2040,Inputs!$B$86*(1+Inputs!$B$87)^((2070-Inputs!$B$9)-2040),_xlfn.IFS((2070-Inputs!$B$9)=2028,Inputs!$B$74,(2070-Inputs!$B$9)=2029,Inputs!$B$75,(2070-Inputs!$B$9)=2030,Inputs!$B$76,(2070-Inputs!$B$9)=2031,Inputs!$B$77,(2070-Inputs!$B$9)=2032,Inputs!$B$78,(2070-Inputs!$B$9)=2033,Inputs!$B$79,(2070-Inputs!$B$9)=2034,Inputs!$B$80,(2070-Inputs!$B$9)=2035,Inputs!$B$81,(2070-Inputs!$B$9)=2036,Inputs!$B$82,(2070-Inputs!$B$9)=2037,Inputs!$B$83,(2070-Inputs!$B$9)=2038,Inputs!$B$84,(2070-Inputs!$B$9)=2039,Inputs!$B$85,(2070-Inputs!$B$9)=2040,Inputs!$B$86)))</f>
        <v>368.165061480435</v>
      </c>
      <c r="AW16" s="41" t="n">
        <f aca="false">IF((2071-Inputs!$B$9)&lt;2028,0,IF((2071-Inputs!$B$9)&gt;2040,Inputs!$B$86*(1+Inputs!$B$87)^((2071-Inputs!$B$9)-2040),_xlfn.IFS((2071-Inputs!$B$9)=2028,Inputs!$B$74,(2071-Inputs!$B$9)=2029,Inputs!$B$75,(2071-Inputs!$B$9)=2030,Inputs!$B$76,(2071-Inputs!$B$9)=2031,Inputs!$B$77,(2071-Inputs!$B$9)=2032,Inputs!$B$78,(2071-Inputs!$B$9)=2033,Inputs!$B$79,(2071-Inputs!$B$9)=2034,Inputs!$B$80,(2071-Inputs!$B$9)=2035,Inputs!$B$81,(2071-Inputs!$B$9)=2036,Inputs!$B$82,(2071-Inputs!$B$9)=2037,Inputs!$B$83,(2071-Inputs!$B$9)=2038,Inputs!$B$84,(2071-Inputs!$B$9)=2039,Inputs!$B$85,(2071-Inputs!$B$9)=2040,Inputs!$B$86)))</f>
        <v>377.369188017446</v>
      </c>
      <c r="AX16" s="41" t="n">
        <f aca="false">IF((2072-Inputs!$B$9)&lt;2028,0,IF((2072-Inputs!$B$9)&gt;2040,Inputs!$B$86*(1+Inputs!$B$87)^((2072-Inputs!$B$9)-2040),_xlfn.IFS((2072-Inputs!$B$9)=2028,Inputs!$B$74,(2072-Inputs!$B$9)=2029,Inputs!$B$75,(2072-Inputs!$B$9)=2030,Inputs!$B$76,(2072-Inputs!$B$9)=2031,Inputs!$B$77,(2072-Inputs!$B$9)=2032,Inputs!$B$78,(2072-Inputs!$B$9)=2033,Inputs!$B$79,(2072-Inputs!$B$9)=2034,Inputs!$B$80,(2072-Inputs!$B$9)=2035,Inputs!$B$81,(2072-Inputs!$B$9)=2036,Inputs!$B$82,(2072-Inputs!$B$9)=2037,Inputs!$B$83,(2072-Inputs!$B$9)=2038,Inputs!$B$84,(2072-Inputs!$B$9)=2039,Inputs!$B$85,(2072-Inputs!$B$9)=2040,Inputs!$B$86)))</f>
        <v>386.803417717882</v>
      </c>
      <c r="AY16" s="41" t="n">
        <f aca="false">IF((2073-Inputs!$B$9)&lt;2028,0,IF((2073-Inputs!$B$9)&gt;2040,Inputs!$B$86*(1+Inputs!$B$87)^((2073-Inputs!$B$9)-2040),_xlfn.IFS((2073-Inputs!$B$9)=2028,Inputs!$B$74,(2073-Inputs!$B$9)=2029,Inputs!$B$75,(2073-Inputs!$B$9)=2030,Inputs!$B$76,(2073-Inputs!$B$9)=2031,Inputs!$B$77,(2073-Inputs!$B$9)=2032,Inputs!$B$78,(2073-Inputs!$B$9)=2033,Inputs!$B$79,(2073-Inputs!$B$9)=2034,Inputs!$B$80,(2073-Inputs!$B$9)=2035,Inputs!$B$81,(2073-Inputs!$B$9)=2036,Inputs!$B$82,(2073-Inputs!$B$9)=2037,Inputs!$B$83,(2073-Inputs!$B$9)=2038,Inputs!$B$84,(2073-Inputs!$B$9)=2039,Inputs!$B$85,(2073-Inputs!$B$9)=2040,Inputs!$B$86)))</f>
        <v>396.473503160829</v>
      </c>
      <c r="AZ16" s="41" t="n">
        <f aca="false">IF((2074-Inputs!$B$9)&lt;2028,0,IF((2074-Inputs!$B$9)&gt;2040,Inputs!$B$86*(1+Inputs!$B$87)^((2074-Inputs!$B$9)-2040),_xlfn.IFS((2074-Inputs!$B$9)=2028,Inputs!$B$74,(2074-Inputs!$B$9)=2029,Inputs!$B$75,(2074-Inputs!$B$9)=2030,Inputs!$B$76,(2074-Inputs!$B$9)=2031,Inputs!$B$77,(2074-Inputs!$B$9)=2032,Inputs!$B$78,(2074-Inputs!$B$9)=2033,Inputs!$B$79,(2074-Inputs!$B$9)=2034,Inputs!$B$80,(2074-Inputs!$B$9)=2035,Inputs!$B$81,(2074-Inputs!$B$9)=2036,Inputs!$B$82,(2074-Inputs!$B$9)=2037,Inputs!$B$83,(2074-Inputs!$B$9)=2038,Inputs!$B$84,(2074-Inputs!$B$9)=2039,Inputs!$B$85,(2074-Inputs!$B$9)=2040,Inputs!$B$86)))</f>
        <v>406.38534073985</v>
      </c>
    </row>
    <row r="17" customFormat="false" ht="15" hidden="false" customHeight="true" outlineLevel="0" collapsed="false">
      <c r="A17" s="13" t="s">
        <v>410</v>
      </c>
      <c r="B17" s="2"/>
      <c r="C17" s="2"/>
      <c r="D17" s="41" t="n">
        <f aca="false">IF((2026-Inputs!$B$9)&lt;2028,0,IF((2026-Inputs!$B$9)&gt;2040,Inputs!$B$101*(1+Inputs!$B$87)^((2026-Inputs!$B$9)-2040),_xlfn.IFS((2026-Inputs!$B$9)=2028,Inputs!$B$89,(2026-Inputs!$B$9)=2029,Inputs!$B$90,(2026-Inputs!$B$9)=2030,Inputs!$B$91,(2026-Inputs!$B$9)=2031,Inputs!$B$92,(2026-Inputs!$B$9)=2032,Inputs!$B$93,(2026-Inputs!$B$9)=2033,Inputs!$B$94,(2026-Inputs!$B$9)=2034,Inputs!$B$95,(2026-Inputs!$B$9)=2035,Inputs!$B$96,(2026-Inputs!$B$9)=2036,Inputs!$B$97,(2026-Inputs!$B$9)=2037,Inputs!$B$98,(2026-Inputs!$B$9)=2038,Inputs!$B$99,(2026-Inputs!$B$9)=2039,Inputs!$B$100,(2026-Inputs!$B$9)=2040,Inputs!$B$101)))</f>
        <v>0</v>
      </c>
      <c r="E17" s="41" t="n">
        <f aca="false">IF((2027-Inputs!$B$9)&lt;2028,0,IF((2027-Inputs!$B$9)&gt;2040,Inputs!$B$101*(1+Inputs!$B$87)^((2027-Inputs!$B$9)-2040),_xlfn.IFS((2027-Inputs!$B$9)=2028,Inputs!$B$89,(2027-Inputs!$B$9)=2029,Inputs!$B$90,(2027-Inputs!$B$9)=2030,Inputs!$B$91,(2027-Inputs!$B$9)=2031,Inputs!$B$92,(2027-Inputs!$B$9)=2032,Inputs!$B$93,(2027-Inputs!$B$9)=2033,Inputs!$B$94,(2027-Inputs!$B$9)=2034,Inputs!$B$95,(2027-Inputs!$B$9)=2035,Inputs!$B$96,(2027-Inputs!$B$9)=2036,Inputs!$B$97,(2027-Inputs!$B$9)=2037,Inputs!$B$98,(2027-Inputs!$B$9)=2038,Inputs!$B$99,(2027-Inputs!$B$9)=2039,Inputs!$B$100,(2027-Inputs!$B$9)=2040,Inputs!$B$101)))</f>
        <v>0</v>
      </c>
      <c r="F17" s="41" t="n">
        <f aca="false">IF((2028-Inputs!$B$9)&lt;2028,0,IF((2028-Inputs!$B$9)&gt;2040,Inputs!$B$101*(1+Inputs!$B$87)^((2028-Inputs!$B$9)-2040),_xlfn.IFS((2028-Inputs!$B$9)=2028,Inputs!$B$89,(2028-Inputs!$B$9)=2029,Inputs!$B$90,(2028-Inputs!$B$9)=2030,Inputs!$B$91,(2028-Inputs!$B$9)=2031,Inputs!$B$92,(2028-Inputs!$B$9)=2032,Inputs!$B$93,(2028-Inputs!$B$9)=2033,Inputs!$B$94,(2028-Inputs!$B$9)=2034,Inputs!$B$95,(2028-Inputs!$B$9)=2035,Inputs!$B$96,(2028-Inputs!$B$9)=2036,Inputs!$B$97,(2028-Inputs!$B$9)=2037,Inputs!$B$98,(2028-Inputs!$B$9)=2038,Inputs!$B$99,(2028-Inputs!$B$9)=2039,Inputs!$B$100,(2028-Inputs!$B$9)=2040,Inputs!$B$101)))</f>
        <v>104.328</v>
      </c>
      <c r="G17" s="41" t="n">
        <f aca="false">IF((2029-Inputs!$B$9)&lt;2028,0,IF((2029-Inputs!$B$9)&gt;2040,Inputs!$B$101*(1+Inputs!$B$87)^((2029-Inputs!$B$9)-2040),_xlfn.IFS((2029-Inputs!$B$9)=2028,Inputs!$B$89,(2029-Inputs!$B$9)=2029,Inputs!$B$90,(2029-Inputs!$B$9)=2030,Inputs!$B$91,(2029-Inputs!$B$9)=2031,Inputs!$B$92,(2029-Inputs!$B$9)=2032,Inputs!$B$93,(2029-Inputs!$B$9)=2033,Inputs!$B$94,(2029-Inputs!$B$9)=2034,Inputs!$B$95,(2029-Inputs!$B$9)=2035,Inputs!$B$96,(2029-Inputs!$B$9)=2036,Inputs!$B$97,(2029-Inputs!$B$9)=2037,Inputs!$B$98,(2029-Inputs!$B$9)=2038,Inputs!$B$99,(2029-Inputs!$B$9)=2039,Inputs!$B$100,(2029-Inputs!$B$9)=2040,Inputs!$B$101)))</f>
        <v>110.519</v>
      </c>
      <c r="H17" s="41" t="n">
        <f aca="false">IF((2030-Inputs!$B$9)&lt;2028,0,IF((2030-Inputs!$B$9)&gt;2040,Inputs!$B$101*(1+Inputs!$B$87)^((2030-Inputs!$B$9)-2040),_xlfn.IFS((2030-Inputs!$B$9)=2028,Inputs!$B$89,(2030-Inputs!$B$9)=2029,Inputs!$B$90,(2030-Inputs!$B$9)=2030,Inputs!$B$91,(2030-Inputs!$B$9)=2031,Inputs!$B$92,(2030-Inputs!$B$9)=2032,Inputs!$B$93,(2030-Inputs!$B$9)=2033,Inputs!$B$94,(2030-Inputs!$B$9)=2034,Inputs!$B$95,(2030-Inputs!$B$9)=2035,Inputs!$B$96,(2030-Inputs!$B$9)=2036,Inputs!$B$97,(2030-Inputs!$B$9)=2037,Inputs!$B$98,(2030-Inputs!$B$9)=2038,Inputs!$B$99,(2030-Inputs!$B$9)=2039,Inputs!$B$100,(2030-Inputs!$B$9)=2040,Inputs!$B$101)))</f>
        <v>115.216</v>
      </c>
      <c r="I17" s="41" t="n">
        <f aca="false">IF((2031-Inputs!$B$9)&lt;2028,0,IF((2031-Inputs!$B$9)&gt;2040,Inputs!$B$101*(1+Inputs!$B$87)^((2031-Inputs!$B$9)-2040),_xlfn.IFS((2031-Inputs!$B$9)=2028,Inputs!$B$89,(2031-Inputs!$B$9)=2029,Inputs!$B$90,(2031-Inputs!$B$9)=2030,Inputs!$B$91,(2031-Inputs!$B$9)=2031,Inputs!$B$92,(2031-Inputs!$B$9)=2032,Inputs!$B$93,(2031-Inputs!$B$9)=2033,Inputs!$B$94,(2031-Inputs!$B$9)=2034,Inputs!$B$95,(2031-Inputs!$B$9)=2035,Inputs!$B$96,(2031-Inputs!$B$9)=2036,Inputs!$B$97,(2031-Inputs!$B$9)=2037,Inputs!$B$98,(2031-Inputs!$B$9)=2038,Inputs!$B$99,(2031-Inputs!$B$9)=2039,Inputs!$B$100,(2031-Inputs!$B$9)=2040,Inputs!$B$101)))</f>
        <v>119.075</v>
      </c>
      <c r="J17" s="41" t="n">
        <f aca="false">IF((2032-Inputs!$B$9)&lt;2028,0,IF((2032-Inputs!$B$9)&gt;2040,Inputs!$B$101*(1+Inputs!$B$87)^((2032-Inputs!$B$9)-2040),_xlfn.IFS((2032-Inputs!$B$9)=2028,Inputs!$B$89,(2032-Inputs!$B$9)=2029,Inputs!$B$90,(2032-Inputs!$B$9)=2030,Inputs!$B$91,(2032-Inputs!$B$9)=2031,Inputs!$B$92,(2032-Inputs!$B$9)=2032,Inputs!$B$93,(2032-Inputs!$B$9)=2033,Inputs!$B$94,(2032-Inputs!$B$9)=2034,Inputs!$B$95,(2032-Inputs!$B$9)=2035,Inputs!$B$96,(2032-Inputs!$B$9)=2036,Inputs!$B$97,(2032-Inputs!$B$9)=2037,Inputs!$B$98,(2032-Inputs!$B$9)=2038,Inputs!$B$99,(2032-Inputs!$B$9)=2039,Inputs!$B$100,(2032-Inputs!$B$9)=2040,Inputs!$B$101)))</f>
        <v>125.825</v>
      </c>
      <c r="K17" s="41" t="n">
        <f aca="false">IF((2033-Inputs!$B$9)&lt;2028,0,IF((2033-Inputs!$B$9)&gt;2040,Inputs!$B$101*(1+Inputs!$B$87)^((2033-Inputs!$B$9)-2040),_xlfn.IFS((2033-Inputs!$B$9)=2028,Inputs!$B$89,(2033-Inputs!$B$9)=2029,Inputs!$B$90,(2033-Inputs!$B$9)=2030,Inputs!$B$91,(2033-Inputs!$B$9)=2031,Inputs!$B$92,(2033-Inputs!$B$9)=2032,Inputs!$B$93,(2033-Inputs!$B$9)=2033,Inputs!$B$94,(2033-Inputs!$B$9)=2034,Inputs!$B$95,(2033-Inputs!$B$9)=2035,Inputs!$B$96,(2033-Inputs!$B$9)=2036,Inputs!$B$97,(2033-Inputs!$B$9)=2037,Inputs!$B$98,(2033-Inputs!$B$9)=2038,Inputs!$B$99,(2033-Inputs!$B$9)=2039,Inputs!$B$100,(2033-Inputs!$B$9)=2040,Inputs!$B$101)))</f>
        <v>132.794</v>
      </c>
      <c r="L17" s="41" t="n">
        <f aca="false">IF((2034-Inputs!$B$9)&lt;2028,0,IF((2034-Inputs!$B$9)&gt;2040,Inputs!$B$101*(1+Inputs!$B$87)^((2034-Inputs!$B$9)-2040),_xlfn.IFS((2034-Inputs!$B$9)=2028,Inputs!$B$89,(2034-Inputs!$B$9)=2029,Inputs!$B$90,(2034-Inputs!$B$9)=2030,Inputs!$B$91,(2034-Inputs!$B$9)=2031,Inputs!$B$92,(2034-Inputs!$B$9)=2032,Inputs!$B$93,(2034-Inputs!$B$9)=2033,Inputs!$B$94,(2034-Inputs!$B$9)=2034,Inputs!$B$95,(2034-Inputs!$B$9)=2035,Inputs!$B$96,(2034-Inputs!$B$9)=2036,Inputs!$B$97,(2034-Inputs!$B$9)=2037,Inputs!$B$98,(2034-Inputs!$B$9)=2038,Inputs!$B$99,(2034-Inputs!$B$9)=2039,Inputs!$B$100,(2034-Inputs!$B$9)=2040,Inputs!$B$101)))</f>
        <v>140.706</v>
      </c>
      <c r="M17" s="41" t="n">
        <f aca="false">IF((2035-Inputs!$B$9)&lt;2028,0,IF((2035-Inputs!$B$9)&gt;2040,Inputs!$B$101*(1+Inputs!$B$87)^((2035-Inputs!$B$9)-2040),_xlfn.IFS((2035-Inputs!$B$9)=2028,Inputs!$B$89,(2035-Inputs!$B$9)=2029,Inputs!$B$90,(2035-Inputs!$B$9)=2030,Inputs!$B$91,(2035-Inputs!$B$9)=2031,Inputs!$B$92,(2035-Inputs!$B$9)=2032,Inputs!$B$93,(2035-Inputs!$B$9)=2033,Inputs!$B$94,(2035-Inputs!$B$9)=2034,Inputs!$B$95,(2035-Inputs!$B$9)=2035,Inputs!$B$96,(2035-Inputs!$B$9)=2036,Inputs!$B$97,(2035-Inputs!$B$9)=2037,Inputs!$B$98,(2035-Inputs!$B$9)=2038,Inputs!$B$99,(2035-Inputs!$B$9)=2039,Inputs!$B$100,(2035-Inputs!$B$9)=2040,Inputs!$B$101)))</f>
        <v>149.264</v>
      </c>
      <c r="N17" s="41" t="n">
        <f aca="false">IF((2036-Inputs!$B$9)&lt;2028,0,IF((2036-Inputs!$B$9)&gt;2040,Inputs!$B$101*(1+Inputs!$B$87)^((2036-Inputs!$B$9)-2040),_xlfn.IFS((2036-Inputs!$B$9)=2028,Inputs!$B$89,(2036-Inputs!$B$9)=2029,Inputs!$B$90,(2036-Inputs!$B$9)=2030,Inputs!$B$91,(2036-Inputs!$B$9)=2031,Inputs!$B$92,(2036-Inputs!$B$9)=2032,Inputs!$B$93,(2036-Inputs!$B$9)=2033,Inputs!$B$94,(2036-Inputs!$B$9)=2034,Inputs!$B$95,(2036-Inputs!$B$9)=2035,Inputs!$B$96,(2036-Inputs!$B$9)=2036,Inputs!$B$97,(2036-Inputs!$B$9)=2037,Inputs!$B$98,(2036-Inputs!$B$9)=2038,Inputs!$B$99,(2036-Inputs!$B$9)=2039,Inputs!$B$100,(2036-Inputs!$B$9)=2040,Inputs!$B$101)))</f>
        <v>156.54</v>
      </c>
      <c r="O17" s="41" t="n">
        <f aca="false">IF((2037-Inputs!$B$9)&lt;2028,0,IF((2037-Inputs!$B$9)&gt;2040,Inputs!$B$101*(1+Inputs!$B$87)^((2037-Inputs!$B$9)-2040),_xlfn.IFS((2037-Inputs!$B$9)=2028,Inputs!$B$89,(2037-Inputs!$B$9)=2029,Inputs!$B$90,(2037-Inputs!$B$9)=2030,Inputs!$B$91,(2037-Inputs!$B$9)=2031,Inputs!$B$92,(2037-Inputs!$B$9)=2032,Inputs!$B$93,(2037-Inputs!$B$9)=2033,Inputs!$B$94,(2037-Inputs!$B$9)=2034,Inputs!$B$95,(2037-Inputs!$B$9)=2035,Inputs!$B$96,(2037-Inputs!$B$9)=2036,Inputs!$B$97,(2037-Inputs!$B$9)=2037,Inputs!$B$98,(2037-Inputs!$B$9)=2038,Inputs!$B$99,(2037-Inputs!$B$9)=2039,Inputs!$B$100,(2037-Inputs!$B$9)=2040,Inputs!$B$101)))</f>
        <v>163.825</v>
      </c>
      <c r="P17" s="41" t="n">
        <f aca="false">IF((2038-Inputs!$B$9)&lt;2028,0,IF((2038-Inputs!$B$9)&gt;2040,Inputs!$B$101*(1+Inputs!$B$87)^((2038-Inputs!$B$9)-2040),_xlfn.IFS((2038-Inputs!$B$9)=2028,Inputs!$B$89,(2038-Inputs!$B$9)=2029,Inputs!$B$90,(2038-Inputs!$B$9)=2030,Inputs!$B$91,(2038-Inputs!$B$9)=2031,Inputs!$B$92,(2038-Inputs!$B$9)=2032,Inputs!$B$93,(2038-Inputs!$B$9)=2033,Inputs!$B$94,(2038-Inputs!$B$9)=2034,Inputs!$B$95,(2038-Inputs!$B$9)=2035,Inputs!$B$96,(2038-Inputs!$B$9)=2036,Inputs!$B$97,(2038-Inputs!$B$9)=2037,Inputs!$B$98,(2038-Inputs!$B$9)=2038,Inputs!$B$99,(2038-Inputs!$B$9)=2039,Inputs!$B$100,(2038-Inputs!$B$9)=2040,Inputs!$B$101)))</f>
        <v>171.073</v>
      </c>
      <c r="Q17" s="41" t="n">
        <f aca="false">IF((2039-Inputs!$B$9)&lt;2028,0,IF((2039-Inputs!$B$9)&gt;2040,Inputs!$B$101*(1+Inputs!$B$87)^((2039-Inputs!$B$9)-2040),_xlfn.IFS((2039-Inputs!$B$9)=2028,Inputs!$B$89,(2039-Inputs!$B$9)=2029,Inputs!$B$90,(2039-Inputs!$B$9)=2030,Inputs!$B$91,(2039-Inputs!$B$9)=2031,Inputs!$B$92,(2039-Inputs!$B$9)=2032,Inputs!$B$93,(2039-Inputs!$B$9)=2033,Inputs!$B$94,(2039-Inputs!$B$9)=2034,Inputs!$B$95,(2039-Inputs!$B$9)=2035,Inputs!$B$96,(2039-Inputs!$B$9)=2036,Inputs!$B$97,(2039-Inputs!$B$9)=2037,Inputs!$B$98,(2039-Inputs!$B$9)=2038,Inputs!$B$99,(2039-Inputs!$B$9)=2039,Inputs!$B$100,(2039-Inputs!$B$9)=2040,Inputs!$B$101)))</f>
        <v>178.88</v>
      </c>
      <c r="R17" s="41" t="n">
        <f aca="false">IF((2040-Inputs!$B$9)&lt;2028,0,IF((2040-Inputs!$B$9)&gt;2040,Inputs!$B$101*(1+Inputs!$B$87)^((2040-Inputs!$B$9)-2040),_xlfn.IFS((2040-Inputs!$B$9)=2028,Inputs!$B$89,(2040-Inputs!$B$9)=2029,Inputs!$B$90,(2040-Inputs!$B$9)=2030,Inputs!$B$91,(2040-Inputs!$B$9)=2031,Inputs!$B$92,(2040-Inputs!$B$9)=2032,Inputs!$B$93,(2040-Inputs!$B$9)=2033,Inputs!$B$94,(2040-Inputs!$B$9)=2034,Inputs!$B$95,(2040-Inputs!$B$9)=2035,Inputs!$B$96,(2040-Inputs!$B$9)=2036,Inputs!$B$97,(2040-Inputs!$B$9)=2037,Inputs!$B$98,(2040-Inputs!$B$9)=2038,Inputs!$B$99,(2040-Inputs!$B$9)=2039,Inputs!$B$100,(2040-Inputs!$B$9)=2040,Inputs!$B$101)))</f>
        <v>187.14</v>
      </c>
      <c r="S17" s="41" t="n">
        <f aca="false">IF((2041-Inputs!$B$9)&lt;2028,0,IF((2041-Inputs!$B$9)&gt;2040,Inputs!$B$101*(1+Inputs!$B$87)^((2041-Inputs!$B$9)-2040),_xlfn.IFS((2041-Inputs!$B$9)=2028,Inputs!$B$89,(2041-Inputs!$B$9)=2029,Inputs!$B$90,(2041-Inputs!$B$9)=2030,Inputs!$B$91,(2041-Inputs!$B$9)=2031,Inputs!$B$92,(2041-Inputs!$B$9)=2032,Inputs!$B$93,(2041-Inputs!$B$9)=2033,Inputs!$B$94,(2041-Inputs!$B$9)=2034,Inputs!$B$95,(2041-Inputs!$B$9)=2035,Inputs!$B$96,(2041-Inputs!$B$9)=2036,Inputs!$B$97,(2041-Inputs!$B$9)=2037,Inputs!$B$98,(2041-Inputs!$B$9)=2038,Inputs!$B$99,(2041-Inputs!$B$9)=2039,Inputs!$B$100,(2041-Inputs!$B$9)=2040,Inputs!$B$101)))</f>
        <v>191.8185</v>
      </c>
      <c r="T17" s="41" t="n">
        <f aca="false">IF((2042-Inputs!$B$9)&lt;2028,0,IF((2042-Inputs!$B$9)&gt;2040,Inputs!$B$101*(1+Inputs!$B$87)^((2042-Inputs!$B$9)-2040),_xlfn.IFS((2042-Inputs!$B$9)=2028,Inputs!$B$89,(2042-Inputs!$B$9)=2029,Inputs!$B$90,(2042-Inputs!$B$9)=2030,Inputs!$B$91,(2042-Inputs!$B$9)=2031,Inputs!$B$92,(2042-Inputs!$B$9)=2032,Inputs!$B$93,(2042-Inputs!$B$9)=2033,Inputs!$B$94,(2042-Inputs!$B$9)=2034,Inputs!$B$95,(2042-Inputs!$B$9)=2035,Inputs!$B$96,(2042-Inputs!$B$9)=2036,Inputs!$B$97,(2042-Inputs!$B$9)=2037,Inputs!$B$98,(2042-Inputs!$B$9)=2038,Inputs!$B$99,(2042-Inputs!$B$9)=2039,Inputs!$B$100,(2042-Inputs!$B$9)=2040,Inputs!$B$101)))</f>
        <v>196.6139625</v>
      </c>
      <c r="U17" s="41" t="n">
        <f aca="false">IF((2043-Inputs!$B$9)&lt;2028,0,IF((2043-Inputs!$B$9)&gt;2040,Inputs!$B$101*(1+Inputs!$B$87)^((2043-Inputs!$B$9)-2040),_xlfn.IFS((2043-Inputs!$B$9)=2028,Inputs!$B$89,(2043-Inputs!$B$9)=2029,Inputs!$B$90,(2043-Inputs!$B$9)=2030,Inputs!$B$91,(2043-Inputs!$B$9)=2031,Inputs!$B$92,(2043-Inputs!$B$9)=2032,Inputs!$B$93,(2043-Inputs!$B$9)=2033,Inputs!$B$94,(2043-Inputs!$B$9)=2034,Inputs!$B$95,(2043-Inputs!$B$9)=2035,Inputs!$B$96,(2043-Inputs!$B$9)=2036,Inputs!$B$97,(2043-Inputs!$B$9)=2037,Inputs!$B$98,(2043-Inputs!$B$9)=2038,Inputs!$B$99,(2043-Inputs!$B$9)=2039,Inputs!$B$100,(2043-Inputs!$B$9)=2040,Inputs!$B$101)))</f>
        <v>201.5293115625</v>
      </c>
      <c r="V17" s="41" t="n">
        <f aca="false">IF((2044-Inputs!$B$9)&lt;2028,0,IF((2044-Inputs!$B$9)&gt;2040,Inputs!$B$101*(1+Inputs!$B$87)^((2044-Inputs!$B$9)-2040),_xlfn.IFS((2044-Inputs!$B$9)=2028,Inputs!$B$89,(2044-Inputs!$B$9)=2029,Inputs!$B$90,(2044-Inputs!$B$9)=2030,Inputs!$B$91,(2044-Inputs!$B$9)=2031,Inputs!$B$92,(2044-Inputs!$B$9)=2032,Inputs!$B$93,(2044-Inputs!$B$9)=2033,Inputs!$B$94,(2044-Inputs!$B$9)=2034,Inputs!$B$95,(2044-Inputs!$B$9)=2035,Inputs!$B$96,(2044-Inputs!$B$9)=2036,Inputs!$B$97,(2044-Inputs!$B$9)=2037,Inputs!$B$98,(2044-Inputs!$B$9)=2038,Inputs!$B$99,(2044-Inputs!$B$9)=2039,Inputs!$B$100,(2044-Inputs!$B$9)=2040,Inputs!$B$101)))</f>
        <v>206.567544351562</v>
      </c>
      <c r="W17" s="41" t="n">
        <f aca="false">IF((2045-Inputs!$B$9)&lt;2028,0,IF((2045-Inputs!$B$9)&gt;2040,Inputs!$B$101*(1+Inputs!$B$87)^((2045-Inputs!$B$9)-2040),_xlfn.IFS((2045-Inputs!$B$9)=2028,Inputs!$B$89,(2045-Inputs!$B$9)=2029,Inputs!$B$90,(2045-Inputs!$B$9)=2030,Inputs!$B$91,(2045-Inputs!$B$9)=2031,Inputs!$B$92,(2045-Inputs!$B$9)=2032,Inputs!$B$93,(2045-Inputs!$B$9)=2033,Inputs!$B$94,(2045-Inputs!$B$9)=2034,Inputs!$B$95,(2045-Inputs!$B$9)=2035,Inputs!$B$96,(2045-Inputs!$B$9)=2036,Inputs!$B$97,(2045-Inputs!$B$9)=2037,Inputs!$B$98,(2045-Inputs!$B$9)=2038,Inputs!$B$99,(2045-Inputs!$B$9)=2039,Inputs!$B$100,(2045-Inputs!$B$9)=2040,Inputs!$B$101)))</f>
        <v>211.731732960351</v>
      </c>
      <c r="X17" s="41" t="n">
        <f aca="false">IF((2046-Inputs!$B$9)&lt;2028,0,IF((2046-Inputs!$B$9)&gt;2040,Inputs!$B$101*(1+Inputs!$B$87)^((2046-Inputs!$B$9)-2040),_xlfn.IFS((2046-Inputs!$B$9)=2028,Inputs!$B$89,(2046-Inputs!$B$9)=2029,Inputs!$B$90,(2046-Inputs!$B$9)=2030,Inputs!$B$91,(2046-Inputs!$B$9)=2031,Inputs!$B$92,(2046-Inputs!$B$9)=2032,Inputs!$B$93,(2046-Inputs!$B$9)=2033,Inputs!$B$94,(2046-Inputs!$B$9)=2034,Inputs!$B$95,(2046-Inputs!$B$9)=2035,Inputs!$B$96,(2046-Inputs!$B$9)=2036,Inputs!$B$97,(2046-Inputs!$B$9)=2037,Inputs!$B$98,(2046-Inputs!$B$9)=2038,Inputs!$B$99,(2046-Inputs!$B$9)=2039,Inputs!$B$100,(2046-Inputs!$B$9)=2040,Inputs!$B$101)))</f>
        <v>217.02502628436</v>
      </c>
      <c r="Y17" s="41" t="n">
        <f aca="false">IF((2047-Inputs!$B$9)&lt;2028,0,IF((2047-Inputs!$B$9)&gt;2040,Inputs!$B$101*(1+Inputs!$B$87)^((2047-Inputs!$B$9)-2040),_xlfn.IFS((2047-Inputs!$B$9)=2028,Inputs!$B$89,(2047-Inputs!$B$9)=2029,Inputs!$B$90,(2047-Inputs!$B$9)=2030,Inputs!$B$91,(2047-Inputs!$B$9)=2031,Inputs!$B$92,(2047-Inputs!$B$9)=2032,Inputs!$B$93,(2047-Inputs!$B$9)=2033,Inputs!$B$94,(2047-Inputs!$B$9)=2034,Inputs!$B$95,(2047-Inputs!$B$9)=2035,Inputs!$B$96,(2047-Inputs!$B$9)=2036,Inputs!$B$97,(2047-Inputs!$B$9)=2037,Inputs!$B$98,(2047-Inputs!$B$9)=2038,Inputs!$B$99,(2047-Inputs!$B$9)=2039,Inputs!$B$100,(2047-Inputs!$B$9)=2040,Inputs!$B$101)))</f>
        <v>222.450651941469</v>
      </c>
      <c r="Z17" s="41" t="n">
        <f aca="false">IF((2048-Inputs!$B$9)&lt;2028,0,IF((2048-Inputs!$B$9)&gt;2040,Inputs!$B$101*(1+Inputs!$B$87)^((2048-Inputs!$B$9)-2040),_xlfn.IFS((2048-Inputs!$B$9)=2028,Inputs!$B$89,(2048-Inputs!$B$9)=2029,Inputs!$B$90,(2048-Inputs!$B$9)=2030,Inputs!$B$91,(2048-Inputs!$B$9)=2031,Inputs!$B$92,(2048-Inputs!$B$9)=2032,Inputs!$B$93,(2048-Inputs!$B$9)=2033,Inputs!$B$94,(2048-Inputs!$B$9)=2034,Inputs!$B$95,(2048-Inputs!$B$9)=2035,Inputs!$B$96,(2048-Inputs!$B$9)=2036,Inputs!$B$97,(2048-Inputs!$B$9)=2037,Inputs!$B$98,(2048-Inputs!$B$9)=2038,Inputs!$B$99,(2048-Inputs!$B$9)=2039,Inputs!$B$100,(2048-Inputs!$B$9)=2040,Inputs!$B$101)))</f>
        <v>228.011918240006</v>
      </c>
      <c r="AA17" s="41" t="n">
        <f aca="false">IF((2049-Inputs!$B$9)&lt;2028,0,IF((2049-Inputs!$B$9)&gt;2040,Inputs!$B$101*(1+Inputs!$B$87)^((2049-Inputs!$B$9)-2040),_xlfn.IFS((2049-Inputs!$B$9)=2028,Inputs!$B$89,(2049-Inputs!$B$9)=2029,Inputs!$B$90,(2049-Inputs!$B$9)=2030,Inputs!$B$91,(2049-Inputs!$B$9)=2031,Inputs!$B$92,(2049-Inputs!$B$9)=2032,Inputs!$B$93,(2049-Inputs!$B$9)=2033,Inputs!$B$94,(2049-Inputs!$B$9)=2034,Inputs!$B$95,(2049-Inputs!$B$9)=2035,Inputs!$B$96,(2049-Inputs!$B$9)=2036,Inputs!$B$97,(2049-Inputs!$B$9)=2037,Inputs!$B$98,(2049-Inputs!$B$9)=2038,Inputs!$B$99,(2049-Inputs!$B$9)=2039,Inputs!$B$100,(2049-Inputs!$B$9)=2040,Inputs!$B$101)))</f>
        <v>233.712216196006</v>
      </c>
      <c r="AB17" s="41" t="n">
        <f aca="false">IF((2050-Inputs!$B$9)&lt;2028,0,IF((2050-Inputs!$B$9)&gt;2040,Inputs!$B$101*(1+Inputs!$B$87)^((2050-Inputs!$B$9)-2040),_xlfn.IFS((2050-Inputs!$B$9)=2028,Inputs!$B$89,(2050-Inputs!$B$9)=2029,Inputs!$B$90,(2050-Inputs!$B$9)=2030,Inputs!$B$91,(2050-Inputs!$B$9)=2031,Inputs!$B$92,(2050-Inputs!$B$9)=2032,Inputs!$B$93,(2050-Inputs!$B$9)=2033,Inputs!$B$94,(2050-Inputs!$B$9)=2034,Inputs!$B$95,(2050-Inputs!$B$9)=2035,Inputs!$B$96,(2050-Inputs!$B$9)=2036,Inputs!$B$97,(2050-Inputs!$B$9)=2037,Inputs!$B$98,(2050-Inputs!$B$9)=2038,Inputs!$B$99,(2050-Inputs!$B$9)=2039,Inputs!$B$100,(2050-Inputs!$B$9)=2040,Inputs!$B$101)))</f>
        <v>239.555021600906</v>
      </c>
      <c r="AC17" s="41" t="n">
        <f aca="false">IF((2051-Inputs!$B$9)&lt;2028,0,IF((2051-Inputs!$B$9)&gt;2040,Inputs!$B$101*(1+Inputs!$B$87)^((2051-Inputs!$B$9)-2040),_xlfn.IFS((2051-Inputs!$B$9)=2028,Inputs!$B$89,(2051-Inputs!$B$9)=2029,Inputs!$B$90,(2051-Inputs!$B$9)=2030,Inputs!$B$91,(2051-Inputs!$B$9)=2031,Inputs!$B$92,(2051-Inputs!$B$9)=2032,Inputs!$B$93,(2051-Inputs!$B$9)=2033,Inputs!$B$94,(2051-Inputs!$B$9)=2034,Inputs!$B$95,(2051-Inputs!$B$9)=2035,Inputs!$B$96,(2051-Inputs!$B$9)=2036,Inputs!$B$97,(2051-Inputs!$B$9)=2037,Inputs!$B$98,(2051-Inputs!$B$9)=2038,Inputs!$B$99,(2051-Inputs!$B$9)=2039,Inputs!$B$100,(2051-Inputs!$B$9)=2040,Inputs!$B$101)))</f>
        <v>245.543897140929</v>
      </c>
      <c r="AD17" s="41" t="n">
        <f aca="false">IF((2052-Inputs!$B$9)&lt;2028,0,IF((2052-Inputs!$B$9)&gt;2040,Inputs!$B$101*(1+Inputs!$B$87)^((2052-Inputs!$B$9)-2040),_xlfn.IFS((2052-Inputs!$B$9)=2028,Inputs!$B$89,(2052-Inputs!$B$9)=2029,Inputs!$B$90,(2052-Inputs!$B$9)=2030,Inputs!$B$91,(2052-Inputs!$B$9)=2031,Inputs!$B$92,(2052-Inputs!$B$9)=2032,Inputs!$B$93,(2052-Inputs!$B$9)=2033,Inputs!$B$94,(2052-Inputs!$B$9)=2034,Inputs!$B$95,(2052-Inputs!$B$9)=2035,Inputs!$B$96,(2052-Inputs!$B$9)=2036,Inputs!$B$97,(2052-Inputs!$B$9)=2037,Inputs!$B$98,(2052-Inputs!$B$9)=2038,Inputs!$B$99,(2052-Inputs!$B$9)=2039,Inputs!$B$100,(2052-Inputs!$B$9)=2040,Inputs!$B$101)))</f>
        <v>251.682494569452</v>
      </c>
      <c r="AE17" s="41" t="n">
        <f aca="false">IF((2053-Inputs!$B$9)&lt;2028,0,IF((2053-Inputs!$B$9)&gt;2040,Inputs!$B$101*(1+Inputs!$B$87)^((2053-Inputs!$B$9)-2040),_xlfn.IFS((2053-Inputs!$B$9)=2028,Inputs!$B$89,(2053-Inputs!$B$9)=2029,Inputs!$B$90,(2053-Inputs!$B$9)=2030,Inputs!$B$91,(2053-Inputs!$B$9)=2031,Inputs!$B$92,(2053-Inputs!$B$9)=2032,Inputs!$B$93,(2053-Inputs!$B$9)=2033,Inputs!$B$94,(2053-Inputs!$B$9)=2034,Inputs!$B$95,(2053-Inputs!$B$9)=2035,Inputs!$B$96,(2053-Inputs!$B$9)=2036,Inputs!$B$97,(2053-Inputs!$B$9)=2037,Inputs!$B$98,(2053-Inputs!$B$9)=2038,Inputs!$B$99,(2053-Inputs!$B$9)=2039,Inputs!$B$100,(2053-Inputs!$B$9)=2040,Inputs!$B$101)))</f>
        <v>257.974556933688</v>
      </c>
      <c r="AF17" s="41" t="n">
        <f aca="false">IF((2054-Inputs!$B$9)&lt;2028,0,IF((2054-Inputs!$B$9)&gt;2040,Inputs!$B$101*(1+Inputs!$B$87)^((2054-Inputs!$B$9)-2040),_xlfn.IFS((2054-Inputs!$B$9)=2028,Inputs!$B$89,(2054-Inputs!$B$9)=2029,Inputs!$B$90,(2054-Inputs!$B$9)=2030,Inputs!$B$91,(2054-Inputs!$B$9)=2031,Inputs!$B$92,(2054-Inputs!$B$9)=2032,Inputs!$B$93,(2054-Inputs!$B$9)=2033,Inputs!$B$94,(2054-Inputs!$B$9)=2034,Inputs!$B$95,(2054-Inputs!$B$9)=2035,Inputs!$B$96,(2054-Inputs!$B$9)=2036,Inputs!$B$97,(2054-Inputs!$B$9)=2037,Inputs!$B$98,(2054-Inputs!$B$9)=2038,Inputs!$B$99,(2054-Inputs!$B$9)=2039,Inputs!$B$100,(2054-Inputs!$B$9)=2040,Inputs!$B$101)))</f>
        <v>264.423920857031</v>
      </c>
      <c r="AG17" s="41" t="n">
        <f aca="false">IF((2055-Inputs!$B$9)&lt;2028,0,IF((2055-Inputs!$B$9)&gt;2040,Inputs!$B$101*(1+Inputs!$B$87)^((2055-Inputs!$B$9)-2040),_xlfn.IFS((2055-Inputs!$B$9)=2028,Inputs!$B$89,(2055-Inputs!$B$9)=2029,Inputs!$B$90,(2055-Inputs!$B$9)=2030,Inputs!$B$91,(2055-Inputs!$B$9)=2031,Inputs!$B$92,(2055-Inputs!$B$9)=2032,Inputs!$B$93,(2055-Inputs!$B$9)=2033,Inputs!$B$94,(2055-Inputs!$B$9)=2034,Inputs!$B$95,(2055-Inputs!$B$9)=2035,Inputs!$B$96,(2055-Inputs!$B$9)=2036,Inputs!$B$97,(2055-Inputs!$B$9)=2037,Inputs!$B$98,(2055-Inputs!$B$9)=2038,Inputs!$B$99,(2055-Inputs!$B$9)=2039,Inputs!$B$100,(2055-Inputs!$B$9)=2040,Inputs!$B$101)))</f>
        <v>271.034518878456</v>
      </c>
      <c r="AH17" s="41" t="n">
        <f aca="false">IF((2056-Inputs!$B$9)&lt;2028,0,IF((2056-Inputs!$B$9)&gt;2040,Inputs!$B$101*(1+Inputs!$B$87)^((2056-Inputs!$B$9)-2040),_xlfn.IFS((2056-Inputs!$B$9)=2028,Inputs!$B$89,(2056-Inputs!$B$9)=2029,Inputs!$B$90,(2056-Inputs!$B$9)=2030,Inputs!$B$91,(2056-Inputs!$B$9)=2031,Inputs!$B$92,(2056-Inputs!$B$9)=2032,Inputs!$B$93,(2056-Inputs!$B$9)=2033,Inputs!$B$94,(2056-Inputs!$B$9)=2034,Inputs!$B$95,(2056-Inputs!$B$9)=2035,Inputs!$B$96,(2056-Inputs!$B$9)=2036,Inputs!$B$97,(2056-Inputs!$B$9)=2037,Inputs!$B$98,(2056-Inputs!$B$9)=2038,Inputs!$B$99,(2056-Inputs!$B$9)=2039,Inputs!$B$100,(2056-Inputs!$B$9)=2040,Inputs!$B$101)))</f>
        <v>277.810381850418</v>
      </c>
      <c r="AI17" s="41" t="n">
        <f aca="false">IF((2057-Inputs!$B$9)&lt;2028,0,IF((2057-Inputs!$B$9)&gt;2040,Inputs!$B$101*(1+Inputs!$B$87)^((2057-Inputs!$B$9)-2040),_xlfn.IFS((2057-Inputs!$B$9)=2028,Inputs!$B$89,(2057-Inputs!$B$9)=2029,Inputs!$B$90,(2057-Inputs!$B$9)=2030,Inputs!$B$91,(2057-Inputs!$B$9)=2031,Inputs!$B$92,(2057-Inputs!$B$9)=2032,Inputs!$B$93,(2057-Inputs!$B$9)=2033,Inputs!$B$94,(2057-Inputs!$B$9)=2034,Inputs!$B$95,(2057-Inputs!$B$9)=2035,Inputs!$B$96,(2057-Inputs!$B$9)=2036,Inputs!$B$97,(2057-Inputs!$B$9)=2037,Inputs!$B$98,(2057-Inputs!$B$9)=2038,Inputs!$B$99,(2057-Inputs!$B$9)=2039,Inputs!$B$100,(2057-Inputs!$B$9)=2040,Inputs!$B$101)))</f>
        <v>284.755641396678</v>
      </c>
      <c r="AJ17" s="41" t="n">
        <f aca="false">IF((2058-Inputs!$B$9)&lt;2028,0,IF((2058-Inputs!$B$9)&gt;2040,Inputs!$B$101*(1+Inputs!$B$87)^((2058-Inputs!$B$9)-2040),_xlfn.IFS((2058-Inputs!$B$9)=2028,Inputs!$B$89,(2058-Inputs!$B$9)=2029,Inputs!$B$90,(2058-Inputs!$B$9)=2030,Inputs!$B$91,(2058-Inputs!$B$9)=2031,Inputs!$B$92,(2058-Inputs!$B$9)=2032,Inputs!$B$93,(2058-Inputs!$B$9)=2033,Inputs!$B$94,(2058-Inputs!$B$9)=2034,Inputs!$B$95,(2058-Inputs!$B$9)=2035,Inputs!$B$96,(2058-Inputs!$B$9)=2036,Inputs!$B$97,(2058-Inputs!$B$9)=2037,Inputs!$B$98,(2058-Inputs!$B$9)=2038,Inputs!$B$99,(2058-Inputs!$B$9)=2039,Inputs!$B$100,(2058-Inputs!$B$9)=2040,Inputs!$B$101)))</f>
        <v>291.874532431595</v>
      </c>
      <c r="AK17" s="41" t="n">
        <f aca="false">IF((2059-Inputs!$B$9)&lt;2028,0,IF((2059-Inputs!$B$9)&gt;2040,Inputs!$B$101*(1+Inputs!$B$87)^((2059-Inputs!$B$9)-2040),_xlfn.IFS((2059-Inputs!$B$9)=2028,Inputs!$B$89,(2059-Inputs!$B$9)=2029,Inputs!$B$90,(2059-Inputs!$B$9)=2030,Inputs!$B$91,(2059-Inputs!$B$9)=2031,Inputs!$B$92,(2059-Inputs!$B$9)=2032,Inputs!$B$93,(2059-Inputs!$B$9)=2033,Inputs!$B$94,(2059-Inputs!$B$9)=2034,Inputs!$B$95,(2059-Inputs!$B$9)=2035,Inputs!$B$96,(2059-Inputs!$B$9)=2036,Inputs!$B$97,(2059-Inputs!$B$9)=2037,Inputs!$B$98,(2059-Inputs!$B$9)=2038,Inputs!$B$99,(2059-Inputs!$B$9)=2039,Inputs!$B$100,(2059-Inputs!$B$9)=2040,Inputs!$B$101)))</f>
        <v>299.171395742385</v>
      </c>
      <c r="AL17" s="41" t="n">
        <f aca="false">IF((2060-Inputs!$B$9)&lt;2028,0,IF((2060-Inputs!$B$9)&gt;2040,Inputs!$B$101*(1+Inputs!$B$87)^((2060-Inputs!$B$9)-2040),_xlfn.IFS((2060-Inputs!$B$9)=2028,Inputs!$B$89,(2060-Inputs!$B$9)=2029,Inputs!$B$90,(2060-Inputs!$B$9)=2030,Inputs!$B$91,(2060-Inputs!$B$9)=2031,Inputs!$B$92,(2060-Inputs!$B$9)=2032,Inputs!$B$93,(2060-Inputs!$B$9)=2033,Inputs!$B$94,(2060-Inputs!$B$9)=2034,Inputs!$B$95,(2060-Inputs!$B$9)=2035,Inputs!$B$96,(2060-Inputs!$B$9)=2036,Inputs!$B$97,(2060-Inputs!$B$9)=2037,Inputs!$B$98,(2060-Inputs!$B$9)=2038,Inputs!$B$99,(2060-Inputs!$B$9)=2039,Inputs!$B$100,(2060-Inputs!$B$9)=2040,Inputs!$B$101)))</f>
        <v>306.650680635944</v>
      </c>
      <c r="AM17" s="41" t="n">
        <f aca="false">IF((2061-Inputs!$B$9)&lt;2028,0,IF((2061-Inputs!$B$9)&gt;2040,Inputs!$B$101*(1+Inputs!$B$87)^((2061-Inputs!$B$9)-2040),_xlfn.IFS((2061-Inputs!$B$9)=2028,Inputs!$B$89,(2061-Inputs!$B$9)=2029,Inputs!$B$90,(2061-Inputs!$B$9)=2030,Inputs!$B$91,(2061-Inputs!$B$9)=2031,Inputs!$B$92,(2061-Inputs!$B$9)=2032,Inputs!$B$93,(2061-Inputs!$B$9)=2033,Inputs!$B$94,(2061-Inputs!$B$9)=2034,Inputs!$B$95,(2061-Inputs!$B$9)=2035,Inputs!$B$96,(2061-Inputs!$B$9)=2036,Inputs!$B$97,(2061-Inputs!$B$9)=2037,Inputs!$B$98,(2061-Inputs!$B$9)=2038,Inputs!$B$99,(2061-Inputs!$B$9)=2039,Inputs!$B$100,(2061-Inputs!$B$9)=2040,Inputs!$B$101)))</f>
        <v>314.316947651843</v>
      </c>
      <c r="AN17" s="41" t="n">
        <f aca="false">IF((2062-Inputs!$B$9)&lt;2028,0,IF((2062-Inputs!$B$9)&gt;2040,Inputs!$B$101*(1+Inputs!$B$87)^((2062-Inputs!$B$9)-2040),_xlfn.IFS((2062-Inputs!$B$9)=2028,Inputs!$B$89,(2062-Inputs!$B$9)=2029,Inputs!$B$90,(2062-Inputs!$B$9)=2030,Inputs!$B$91,(2062-Inputs!$B$9)=2031,Inputs!$B$92,(2062-Inputs!$B$9)=2032,Inputs!$B$93,(2062-Inputs!$B$9)=2033,Inputs!$B$94,(2062-Inputs!$B$9)=2034,Inputs!$B$95,(2062-Inputs!$B$9)=2035,Inputs!$B$96,(2062-Inputs!$B$9)=2036,Inputs!$B$97,(2062-Inputs!$B$9)=2037,Inputs!$B$98,(2062-Inputs!$B$9)=2038,Inputs!$B$99,(2062-Inputs!$B$9)=2039,Inputs!$B$100,(2062-Inputs!$B$9)=2040,Inputs!$B$101)))</f>
        <v>322.174871343139</v>
      </c>
      <c r="AO17" s="41" t="n">
        <f aca="false">IF((2063-Inputs!$B$9)&lt;2028,0,IF((2063-Inputs!$B$9)&gt;2040,Inputs!$B$101*(1+Inputs!$B$87)^((2063-Inputs!$B$9)-2040),_xlfn.IFS((2063-Inputs!$B$9)=2028,Inputs!$B$89,(2063-Inputs!$B$9)=2029,Inputs!$B$90,(2063-Inputs!$B$9)=2030,Inputs!$B$91,(2063-Inputs!$B$9)=2031,Inputs!$B$92,(2063-Inputs!$B$9)=2032,Inputs!$B$93,(2063-Inputs!$B$9)=2033,Inputs!$B$94,(2063-Inputs!$B$9)=2034,Inputs!$B$95,(2063-Inputs!$B$9)=2035,Inputs!$B$96,(2063-Inputs!$B$9)=2036,Inputs!$B$97,(2063-Inputs!$B$9)=2037,Inputs!$B$98,(2063-Inputs!$B$9)=2038,Inputs!$B$99,(2063-Inputs!$B$9)=2039,Inputs!$B$100,(2063-Inputs!$B$9)=2040,Inputs!$B$101)))</f>
        <v>330.229243126717</v>
      </c>
      <c r="AP17" s="41" t="n">
        <f aca="false">IF((2064-Inputs!$B$9)&lt;2028,0,IF((2064-Inputs!$B$9)&gt;2040,Inputs!$B$101*(1+Inputs!$B$87)^((2064-Inputs!$B$9)-2040),_xlfn.IFS((2064-Inputs!$B$9)=2028,Inputs!$B$89,(2064-Inputs!$B$9)=2029,Inputs!$B$90,(2064-Inputs!$B$9)=2030,Inputs!$B$91,(2064-Inputs!$B$9)=2031,Inputs!$B$92,(2064-Inputs!$B$9)=2032,Inputs!$B$93,(2064-Inputs!$B$9)=2033,Inputs!$B$94,(2064-Inputs!$B$9)=2034,Inputs!$B$95,(2064-Inputs!$B$9)=2035,Inputs!$B$96,(2064-Inputs!$B$9)=2036,Inputs!$B$97,(2064-Inputs!$B$9)=2037,Inputs!$B$98,(2064-Inputs!$B$9)=2038,Inputs!$B$99,(2064-Inputs!$B$9)=2039,Inputs!$B$100,(2064-Inputs!$B$9)=2040,Inputs!$B$101)))</f>
        <v>338.484974204885</v>
      </c>
      <c r="AQ17" s="41" t="n">
        <f aca="false">IF((2065-Inputs!$B$9)&lt;2028,0,IF((2065-Inputs!$B$9)&gt;2040,Inputs!$B$101*(1+Inputs!$B$87)^((2065-Inputs!$B$9)-2040),_xlfn.IFS((2065-Inputs!$B$9)=2028,Inputs!$B$89,(2065-Inputs!$B$9)=2029,Inputs!$B$90,(2065-Inputs!$B$9)=2030,Inputs!$B$91,(2065-Inputs!$B$9)=2031,Inputs!$B$92,(2065-Inputs!$B$9)=2032,Inputs!$B$93,(2065-Inputs!$B$9)=2033,Inputs!$B$94,(2065-Inputs!$B$9)=2034,Inputs!$B$95,(2065-Inputs!$B$9)=2035,Inputs!$B$96,(2065-Inputs!$B$9)=2036,Inputs!$B$97,(2065-Inputs!$B$9)=2037,Inputs!$B$98,(2065-Inputs!$B$9)=2038,Inputs!$B$99,(2065-Inputs!$B$9)=2039,Inputs!$B$100,(2065-Inputs!$B$9)=2040,Inputs!$B$101)))</f>
        <v>346.947098560008</v>
      </c>
      <c r="AR17" s="41" t="n">
        <f aca="false">IF((2066-Inputs!$B$9)&lt;2028,0,IF((2066-Inputs!$B$9)&gt;2040,Inputs!$B$101*(1+Inputs!$B$87)^((2066-Inputs!$B$9)-2040),_xlfn.IFS((2066-Inputs!$B$9)=2028,Inputs!$B$89,(2066-Inputs!$B$9)=2029,Inputs!$B$90,(2066-Inputs!$B$9)=2030,Inputs!$B$91,(2066-Inputs!$B$9)=2031,Inputs!$B$92,(2066-Inputs!$B$9)=2032,Inputs!$B$93,(2066-Inputs!$B$9)=2033,Inputs!$B$94,(2066-Inputs!$B$9)=2034,Inputs!$B$95,(2066-Inputs!$B$9)=2035,Inputs!$B$96,(2066-Inputs!$B$9)=2036,Inputs!$B$97,(2066-Inputs!$B$9)=2037,Inputs!$B$98,(2066-Inputs!$B$9)=2038,Inputs!$B$99,(2066-Inputs!$B$9)=2039,Inputs!$B$100,(2066-Inputs!$B$9)=2040,Inputs!$B$101)))</f>
        <v>355.620776024008</v>
      </c>
      <c r="AS17" s="41" t="n">
        <f aca="false">IF((2067-Inputs!$B$9)&lt;2028,0,IF((2067-Inputs!$B$9)&gt;2040,Inputs!$B$101*(1+Inputs!$B$87)^((2067-Inputs!$B$9)-2040),_xlfn.IFS((2067-Inputs!$B$9)=2028,Inputs!$B$89,(2067-Inputs!$B$9)=2029,Inputs!$B$90,(2067-Inputs!$B$9)=2030,Inputs!$B$91,(2067-Inputs!$B$9)=2031,Inputs!$B$92,(2067-Inputs!$B$9)=2032,Inputs!$B$93,(2067-Inputs!$B$9)=2033,Inputs!$B$94,(2067-Inputs!$B$9)=2034,Inputs!$B$95,(2067-Inputs!$B$9)=2035,Inputs!$B$96,(2067-Inputs!$B$9)=2036,Inputs!$B$97,(2067-Inputs!$B$9)=2037,Inputs!$B$98,(2067-Inputs!$B$9)=2038,Inputs!$B$99,(2067-Inputs!$B$9)=2039,Inputs!$B$100,(2067-Inputs!$B$9)=2040,Inputs!$B$101)))</f>
        <v>364.511295424608</v>
      </c>
      <c r="AT17" s="41" t="n">
        <f aca="false">IF((2068-Inputs!$B$9)&lt;2028,0,IF((2068-Inputs!$B$9)&gt;2040,Inputs!$B$101*(1+Inputs!$B$87)^((2068-Inputs!$B$9)-2040),_xlfn.IFS((2068-Inputs!$B$9)=2028,Inputs!$B$89,(2068-Inputs!$B$9)=2029,Inputs!$B$90,(2068-Inputs!$B$9)=2030,Inputs!$B$91,(2068-Inputs!$B$9)=2031,Inputs!$B$92,(2068-Inputs!$B$9)=2032,Inputs!$B$93,(2068-Inputs!$B$9)=2033,Inputs!$B$94,(2068-Inputs!$B$9)=2034,Inputs!$B$95,(2068-Inputs!$B$9)=2035,Inputs!$B$96,(2068-Inputs!$B$9)=2036,Inputs!$B$97,(2068-Inputs!$B$9)=2037,Inputs!$B$98,(2068-Inputs!$B$9)=2038,Inputs!$B$99,(2068-Inputs!$B$9)=2039,Inputs!$B$100,(2068-Inputs!$B$9)=2040,Inputs!$B$101)))</f>
        <v>373.624077810223</v>
      </c>
      <c r="AU17" s="41" t="n">
        <f aca="false">IF((2069-Inputs!$B$9)&lt;2028,0,IF((2069-Inputs!$B$9)&gt;2040,Inputs!$B$101*(1+Inputs!$B$87)^((2069-Inputs!$B$9)-2040),_xlfn.IFS((2069-Inputs!$B$9)=2028,Inputs!$B$89,(2069-Inputs!$B$9)=2029,Inputs!$B$90,(2069-Inputs!$B$9)=2030,Inputs!$B$91,(2069-Inputs!$B$9)=2031,Inputs!$B$92,(2069-Inputs!$B$9)=2032,Inputs!$B$93,(2069-Inputs!$B$9)=2033,Inputs!$B$94,(2069-Inputs!$B$9)=2034,Inputs!$B$95,(2069-Inputs!$B$9)=2035,Inputs!$B$96,(2069-Inputs!$B$9)=2036,Inputs!$B$97,(2069-Inputs!$B$9)=2037,Inputs!$B$98,(2069-Inputs!$B$9)=2038,Inputs!$B$99,(2069-Inputs!$B$9)=2039,Inputs!$B$100,(2069-Inputs!$B$9)=2040,Inputs!$B$101)))</f>
        <v>382.964679755478</v>
      </c>
      <c r="AV17" s="41" t="n">
        <f aca="false">IF((2070-Inputs!$B$9)&lt;2028,0,IF((2070-Inputs!$B$9)&gt;2040,Inputs!$B$101*(1+Inputs!$B$87)^((2070-Inputs!$B$9)-2040),_xlfn.IFS((2070-Inputs!$B$9)=2028,Inputs!$B$89,(2070-Inputs!$B$9)=2029,Inputs!$B$90,(2070-Inputs!$B$9)=2030,Inputs!$B$91,(2070-Inputs!$B$9)=2031,Inputs!$B$92,(2070-Inputs!$B$9)=2032,Inputs!$B$93,(2070-Inputs!$B$9)=2033,Inputs!$B$94,(2070-Inputs!$B$9)=2034,Inputs!$B$95,(2070-Inputs!$B$9)=2035,Inputs!$B$96,(2070-Inputs!$B$9)=2036,Inputs!$B$97,(2070-Inputs!$B$9)=2037,Inputs!$B$98,(2070-Inputs!$B$9)=2038,Inputs!$B$99,(2070-Inputs!$B$9)=2039,Inputs!$B$100,(2070-Inputs!$B$9)=2040,Inputs!$B$101)))</f>
        <v>392.538796749365</v>
      </c>
      <c r="AW17" s="41" t="n">
        <f aca="false">IF((2071-Inputs!$B$9)&lt;2028,0,IF((2071-Inputs!$B$9)&gt;2040,Inputs!$B$101*(1+Inputs!$B$87)^((2071-Inputs!$B$9)-2040),_xlfn.IFS((2071-Inputs!$B$9)=2028,Inputs!$B$89,(2071-Inputs!$B$9)=2029,Inputs!$B$90,(2071-Inputs!$B$9)=2030,Inputs!$B$91,(2071-Inputs!$B$9)=2031,Inputs!$B$92,(2071-Inputs!$B$9)=2032,Inputs!$B$93,(2071-Inputs!$B$9)=2033,Inputs!$B$94,(2071-Inputs!$B$9)=2034,Inputs!$B$95,(2071-Inputs!$B$9)=2035,Inputs!$B$96,(2071-Inputs!$B$9)=2036,Inputs!$B$97,(2071-Inputs!$B$9)=2037,Inputs!$B$98,(2071-Inputs!$B$9)=2038,Inputs!$B$99,(2071-Inputs!$B$9)=2039,Inputs!$B$100,(2071-Inputs!$B$9)=2040,Inputs!$B$101)))</f>
        <v>402.3522666681</v>
      </c>
      <c r="AX17" s="41" t="n">
        <f aca="false">IF((2072-Inputs!$B$9)&lt;2028,0,IF((2072-Inputs!$B$9)&gt;2040,Inputs!$B$101*(1+Inputs!$B$87)^((2072-Inputs!$B$9)-2040),_xlfn.IFS((2072-Inputs!$B$9)=2028,Inputs!$B$89,(2072-Inputs!$B$9)=2029,Inputs!$B$90,(2072-Inputs!$B$9)=2030,Inputs!$B$91,(2072-Inputs!$B$9)=2031,Inputs!$B$92,(2072-Inputs!$B$9)=2032,Inputs!$B$93,(2072-Inputs!$B$9)=2033,Inputs!$B$94,(2072-Inputs!$B$9)=2034,Inputs!$B$95,(2072-Inputs!$B$9)=2035,Inputs!$B$96,(2072-Inputs!$B$9)=2036,Inputs!$B$97,(2072-Inputs!$B$9)=2037,Inputs!$B$98,(2072-Inputs!$B$9)=2038,Inputs!$B$99,(2072-Inputs!$B$9)=2039,Inputs!$B$100,(2072-Inputs!$B$9)=2040,Inputs!$B$101)))</f>
        <v>412.411073334802</v>
      </c>
      <c r="AY17" s="41" t="n">
        <f aca="false">IF((2073-Inputs!$B$9)&lt;2028,0,IF((2073-Inputs!$B$9)&gt;2040,Inputs!$B$101*(1+Inputs!$B$87)^((2073-Inputs!$B$9)-2040),_xlfn.IFS((2073-Inputs!$B$9)=2028,Inputs!$B$89,(2073-Inputs!$B$9)=2029,Inputs!$B$90,(2073-Inputs!$B$9)=2030,Inputs!$B$91,(2073-Inputs!$B$9)=2031,Inputs!$B$92,(2073-Inputs!$B$9)=2032,Inputs!$B$93,(2073-Inputs!$B$9)=2033,Inputs!$B$94,(2073-Inputs!$B$9)=2034,Inputs!$B$95,(2073-Inputs!$B$9)=2035,Inputs!$B$96,(2073-Inputs!$B$9)=2036,Inputs!$B$97,(2073-Inputs!$B$9)=2037,Inputs!$B$98,(2073-Inputs!$B$9)=2038,Inputs!$B$99,(2073-Inputs!$B$9)=2039,Inputs!$B$100,(2073-Inputs!$B$9)=2040,Inputs!$B$101)))</f>
        <v>422.721350168172</v>
      </c>
      <c r="AZ17" s="41" t="n">
        <f aca="false">IF((2074-Inputs!$B$9)&lt;2028,0,IF((2074-Inputs!$B$9)&gt;2040,Inputs!$B$101*(1+Inputs!$B$87)^((2074-Inputs!$B$9)-2040),_xlfn.IFS((2074-Inputs!$B$9)=2028,Inputs!$B$89,(2074-Inputs!$B$9)=2029,Inputs!$B$90,(2074-Inputs!$B$9)=2030,Inputs!$B$91,(2074-Inputs!$B$9)=2031,Inputs!$B$92,(2074-Inputs!$B$9)=2032,Inputs!$B$93,(2074-Inputs!$B$9)=2033,Inputs!$B$94,(2074-Inputs!$B$9)=2034,Inputs!$B$95,(2074-Inputs!$B$9)=2035,Inputs!$B$96,(2074-Inputs!$B$9)=2036,Inputs!$B$97,(2074-Inputs!$B$9)=2037,Inputs!$B$98,(2074-Inputs!$B$9)=2038,Inputs!$B$99,(2074-Inputs!$B$9)=2039,Inputs!$B$100,(2074-Inputs!$B$9)=2040,Inputs!$B$101)))</f>
        <v>433.289383922376</v>
      </c>
    </row>
    <row r="18" customFormat="false" ht="15" hidden="false" customHeight="true" outlineLevel="0" collapsed="false">
      <c r="A18" s="13" t="s">
        <v>411</v>
      </c>
      <c r="B18" s="2"/>
      <c r="C18" s="2"/>
      <c r="D18" s="50" t="n">
        <f aca="false">IF((2026-Inputs!$B$9)&lt;2028,0,IF((2026-Inputs!$B$9)&gt;2040,Inputs!$B$114/Inputs!$B$101,_xlfn.IFS((2026-Inputs!$B$9)=2028,Inputs!$B$102/Inputs!$B$89,(2026-Inputs!$B$9)=2029,Inputs!$B$103/Inputs!$B$90,(2026-Inputs!$B$9)=2030,Inputs!$B$104/Inputs!$B$91,(2026-Inputs!$B$9)=2031,Inputs!$B$105/Inputs!$B$92,(2026-Inputs!$B$9)=2032,Inputs!$B$106/Inputs!$B$93,(2026-Inputs!$B$9)=2033,Inputs!$B$107/Inputs!$B$94,(2026-Inputs!$B$9)=2034,Inputs!$B$108/Inputs!$B$95,(2026-Inputs!$B$9)=2035,Inputs!$B$109/Inputs!$B$96,(2026-Inputs!$B$9)=2036,Inputs!$B$110/Inputs!$B$97,(2026-Inputs!$B$9)=2037,Inputs!$B$111/Inputs!$B$98,(2026-Inputs!$B$9)=2038,Inputs!$B$112/Inputs!$B$99,(2026-Inputs!$B$9)=2039,Inputs!$B$113/Inputs!$B$100,(2026-Inputs!$B$9)=2040,Inputs!$B$114/Inputs!$B$101)))</f>
        <v>0</v>
      </c>
      <c r="E18" s="50" t="n">
        <f aca="false">IF((2027-Inputs!$B$9)&lt;2028,0,IF((2027-Inputs!$B$9)&gt;2040,Inputs!$B$114/Inputs!$B$101,_xlfn.IFS((2027-Inputs!$B$9)=2028,Inputs!$B$102/Inputs!$B$89,(2027-Inputs!$B$9)=2029,Inputs!$B$103/Inputs!$B$90,(2027-Inputs!$B$9)=2030,Inputs!$B$104/Inputs!$B$91,(2027-Inputs!$B$9)=2031,Inputs!$B$105/Inputs!$B$92,(2027-Inputs!$B$9)=2032,Inputs!$B$106/Inputs!$B$93,(2027-Inputs!$B$9)=2033,Inputs!$B$107/Inputs!$B$94,(2027-Inputs!$B$9)=2034,Inputs!$B$108/Inputs!$B$95,(2027-Inputs!$B$9)=2035,Inputs!$B$109/Inputs!$B$96,(2027-Inputs!$B$9)=2036,Inputs!$B$110/Inputs!$B$97,(2027-Inputs!$B$9)=2037,Inputs!$B$111/Inputs!$B$98,(2027-Inputs!$B$9)=2038,Inputs!$B$112/Inputs!$B$99,(2027-Inputs!$B$9)=2039,Inputs!$B$113/Inputs!$B$100,(2027-Inputs!$B$9)=2040,Inputs!$B$114/Inputs!$B$101)))</f>
        <v>0</v>
      </c>
      <c r="F18" s="50" t="n">
        <f aca="false">IF((2028-Inputs!$B$9)&lt;2028,0,IF((2028-Inputs!$B$9)&gt;2040,Inputs!$B$114/Inputs!$B$101,_xlfn.IFS((2028-Inputs!$B$9)=2028,Inputs!$B$102/Inputs!$B$89,(2028-Inputs!$B$9)=2029,Inputs!$B$103/Inputs!$B$90,(2028-Inputs!$B$9)=2030,Inputs!$B$104/Inputs!$B$91,(2028-Inputs!$B$9)=2031,Inputs!$B$105/Inputs!$B$92,(2028-Inputs!$B$9)=2032,Inputs!$B$106/Inputs!$B$93,(2028-Inputs!$B$9)=2033,Inputs!$B$107/Inputs!$B$94,(2028-Inputs!$B$9)=2034,Inputs!$B$108/Inputs!$B$95,(2028-Inputs!$B$9)=2035,Inputs!$B$109/Inputs!$B$96,(2028-Inputs!$B$9)=2036,Inputs!$B$110/Inputs!$B$97,(2028-Inputs!$B$9)=2037,Inputs!$B$111/Inputs!$B$98,(2028-Inputs!$B$9)=2038,Inputs!$B$112/Inputs!$B$99,(2028-Inputs!$B$9)=2039,Inputs!$B$113/Inputs!$B$100,(2028-Inputs!$B$9)=2040,Inputs!$B$114/Inputs!$B$101)))</f>
        <v>0.354689057587608</v>
      </c>
      <c r="G18" s="50" t="n">
        <f aca="false">IF((2029-Inputs!$B$9)&lt;2028,0,IF((2029-Inputs!$B$9)&gt;2040,Inputs!$B$114/Inputs!$B$101,_xlfn.IFS((2029-Inputs!$B$9)=2028,Inputs!$B$102/Inputs!$B$89,(2029-Inputs!$B$9)=2029,Inputs!$B$103/Inputs!$B$90,(2029-Inputs!$B$9)=2030,Inputs!$B$104/Inputs!$B$91,(2029-Inputs!$B$9)=2031,Inputs!$B$105/Inputs!$B$92,(2029-Inputs!$B$9)=2032,Inputs!$B$106/Inputs!$B$93,(2029-Inputs!$B$9)=2033,Inputs!$B$107/Inputs!$B$94,(2029-Inputs!$B$9)=2034,Inputs!$B$108/Inputs!$B$95,(2029-Inputs!$B$9)=2035,Inputs!$B$109/Inputs!$B$96,(2029-Inputs!$B$9)=2036,Inputs!$B$110/Inputs!$B$97,(2029-Inputs!$B$9)=2037,Inputs!$B$111/Inputs!$B$98,(2029-Inputs!$B$9)=2038,Inputs!$B$112/Inputs!$B$99,(2029-Inputs!$B$9)=2039,Inputs!$B$113/Inputs!$B$100,(2029-Inputs!$B$9)=2040,Inputs!$B$114/Inputs!$B$101)))</f>
        <v>0.334585003483564</v>
      </c>
      <c r="H18" s="50" t="n">
        <f aca="false">IF((2030-Inputs!$B$9)&lt;2028,0,IF((2030-Inputs!$B$9)&gt;2040,Inputs!$B$114/Inputs!$B$101,_xlfn.IFS((2030-Inputs!$B$9)=2028,Inputs!$B$102/Inputs!$B$89,(2030-Inputs!$B$9)=2029,Inputs!$B$103/Inputs!$B$90,(2030-Inputs!$B$9)=2030,Inputs!$B$104/Inputs!$B$91,(2030-Inputs!$B$9)=2031,Inputs!$B$105/Inputs!$B$92,(2030-Inputs!$B$9)=2032,Inputs!$B$106/Inputs!$B$93,(2030-Inputs!$B$9)=2033,Inputs!$B$107/Inputs!$B$94,(2030-Inputs!$B$9)=2034,Inputs!$B$108/Inputs!$B$95,(2030-Inputs!$B$9)=2035,Inputs!$B$109/Inputs!$B$96,(2030-Inputs!$B$9)=2036,Inputs!$B$110/Inputs!$B$97,(2030-Inputs!$B$9)=2037,Inputs!$B$111/Inputs!$B$98,(2030-Inputs!$B$9)=2038,Inputs!$B$112/Inputs!$B$99,(2030-Inputs!$B$9)=2039,Inputs!$B$113/Inputs!$B$100,(2030-Inputs!$B$9)=2040,Inputs!$B$114/Inputs!$B$101)))</f>
        <v>0.34294716011665</v>
      </c>
      <c r="I18" s="50" t="n">
        <f aca="false">IF((2031-Inputs!$B$9)&lt;2028,0,IF((2031-Inputs!$B$9)&gt;2040,Inputs!$B$114/Inputs!$B$101,_xlfn.IFS((2031-Inputs!$B$9)=2028,Inputs!$B$102/Inputs!$B$89,(2031-Inputs!$B$9)=2029,Inputs!$B$103/Inputs!$B$90,(2031-Inputs!$B$9)=2030,Inputs!$B$104/Inputs!$B$91,(2031-Inputs!$B$9)=2031,Inputs!$B$105/Inputs!$B$92,(2031-Inputs!$B$9)=2032,Inputs!$B$106/Inputs!$B$93,(2031-Inputs!$B$9)=2033,Inputs!$B$107/Inputs!$B$94,(2031-Inputs!$B$9)=2034,Inputs!$B$108/Inputs!$B$95,(2031-Inputs!$B$9)=2035,Inputs!$B$109/Inputs!$B$96,(2031-Inputs!$B$9)=2036,Inputs!$B$110/Inputs!$B$97,(2031-Inputs!$B$9)=2037,Inputs!$B$111/Inputs!$B$98,(2031-Inputs!$B$9)=2038,Inputs!$B$112/Inputs!$B$99,(2031-Inputs!$B$9)=2039,Inputs!$B$113/Inputs!$B$100,(2031-Inputs!$B$9)=2040,Inputs!$B$114/Inputs!$B$101)))</f>
        <v>0.347394499265169</v>
      </c>
      <c r="J18" s="50" t="n">
        <f aca="false">IF((2032-Inputs!$B$9)&lt;2028,0,IF((2032-Inputs!$B$9)&gt;2040,Inputs!$B$114/Inputs!$B$101,_xlfn.IFS((2032-Inputs!$B$9)=2028,Inputs!$B$102/Inputs!$B$89,(2032-Inputs!$B$9)=2029,Inputs!$B$103/Inputs!$B$90,(2032-Inputs!$B$9)=2030,Inputs!$B$104/Inputs!$B$91,(2032-Inputs!$B$9)=2031,Inputs!$B$105/Inputs!$B$92,(2032-Inputs!$B$9)=2032,Inputs!$B$106/Inputs!$B$93,(2032-Inputs!$B$9)=2033,Inputs!$B$107/Inputs!$B$94,(2032-Inputs!$B$9)=2034,Inputs!$B$108/Inputs!$B$95,(2032-Inputs!$B$9)=2035,Inputs!$B$109/Inputs!$B$96,(2032-Inputs!$B$9)=2036,Inputs!$B$110/Inputs!$B$97,(2032-Inputs!$B$9)=2037,Inputs!$B$111/Inputs!$B$98,(2032-Inputs!$B$9)=2038,Inputs!$B$112/Inputs!$B$99,(2032-Inputs!$B$9)=2039,Inputs!$B$113/Inputs!$B$100,(2032-Inputs!$B$9)=2040,Inputs!$B$114/Inputs!$B$101)))</f>
        <v>0.359006556725611</v>
      </c>
      <c r="K18" s="50" t="n">
        <f aca="false">IF((2033-Inputs!$B$9)&lt;2028,0,IF((2033-Inputs!$B$9)&gt;2040,Inputs!$B$114/Inputs!$B$101,_xlfn.IFS((2033-Inputs!$B$9)=2028,Inputs!$B$102/Inputs!$B$89,(2033-Inputs!$B$9)=2029,Inputs!$B$103/Inputs!$B$90,(2033-Inputs!$B$9)=2030,Inputs!$B$104/Inputs!$B$91,(2033-Inputs!$B$9)=2031,Inputs!$B$105/Inputs!$B$92,(2033-Inputs!$B$9)=2032,Inputs!$B$106/Inputs!$B$93,(2033-Inputs!$B$9)=2033,Inputs!$B$107/Inputs!$B$94,(2033-Inputs!$B$9)=2034,Inputs!$B$108/Inputs!$B$95,(2033-Inputs!$B$9)=2035,Inputs!$B$109/Inputs!$B$96,(2033-Inputs!$B$9)=2036,Inputs!$B$110/Inputs!$B$97,(2033-Inputs!$B$9)=2037,Inputs!$B$111/Inputs!$B$98,(2033-Inputs!$B$9)=2038,Inputs!$B$112/Inputs!$B$99,(2033-Inputs!$B$9)=2039,Inputs!$B$113/Inputs!$B$100,(2033-Inputs!$B$9)=2040,Inputs!$B$114/Inputs!$B$101)))</f>
        <v>0.370566441254876</v>
      </c>
      <c r="L18" s="50" t="n">
        <f aca="false">IF((2034-Inputs!$B$9)&lt;2028,0,IF((2034-Inputs!$B$9)&gt;2040,Inputs!$B$114/Inputs!$B$101,_xlfn.IFS((2034-Inputs!$B$9)=2028,Inputs!$B$102/Inputs!$B$89,(2034-Inputs!$B$9)=2029,Inputs!$B$103/Inputs!$B$90,(2034-Inputs!$B$9)=2030,Inputs!$B$104/Inputs!$B$91,(2034-Inputs!$B$9)=2031,Inputs!$B$105/Inputs!$B$92,(2034-Inputs!$B$9)=2032,Inputs!$B$106/Inputs!$B$93,(2034-Inputs!$B$9)=2033,Inputs!$B$107/Inputs!$B$94,(2034-Inputs!$B$9)=2034,Inputs!$B$108/Inputs!$B$95,(2034-Inputs!$B$9)=2035,Inputs!$B$109/Inputs!$B$96,(2034-Inputs!$B$9)=2036,Inputs!$B$110/Inputs!$B$97,(2034-Inputs!$B$9)=2037,Inputs!$B$111/Inputs!$B$98,(2034-Inputs!$B$9)=2038,Inputs!$B$112/Inputs!$B$99,(2034-Inputs!$B$9)=2039,Inputs!$B$113/Inputs!$B$100,(2034-Inputs!$B$9)=2040,Inputs!$B$114/Inputs!$B$101)))</f>
        <v>0.382769746848038</v>
      </c>
      <c r="M18" s="50" t="n">
        <f aca="false">IF((2035-Inputs!$B$9)&lt;2028,0,IF((2035-Inputs!$B$9)&gt;2040,Inputs!$B$114/Inputs!$B$101,_xlfn.IFS((2035-Inputs!$B$9)=2028,Inputs!$B$102/Inputs!$B$89,(2035-Inputs!$B$9)=2029,Inputs!$B$103/Inputs!$B$90,(2035-Inputs!$B$9)=2030,Inputs!$B$104/Inputs!$B$91,(2035-Inputs!$B$9)=2031,Inputs!$B$105/Inputs!$B$92,(2035-Inputs!$B$9)=2032,Inputs!$B$106/Inputs!$B$93,(2035-Inputs!$B$9)=2033,Inputs!$B$107/Inputs!$B$94,(2035-Inputs!$B$9)=2034,Inputs!$B$108/Inputs!$B$95,(2035-Inputs!$B$9)=2035,Inputs!$B$109/Inputs!$B$96,(2035-Inputs!$B$9)=2036,Inputs!$B$110/Inputs!$B$97,(2035-Inputs!$B$9)=2037,Inputs!$B$111/Inputs!$B$98,(2035-Inputs!$B$9)=2038,Inputs!$B$112/Inputs!$B$99,(2035-Inputs!$B$9)=2039,Inputs!$B$113/Inputs!$B$100,(2035-Inputs!$B$9)=2040,Inputs!$B$114/Inputs!$B$101)))</f>
        <v>0.395011523207203</v>
      </c>
      <c r="N18" s="50" t="n">
        <f aca="false">IF((2036-Inputs!$B$9)&lt;2028,0,IF((2036-Inputs!$B$9)&gt;2040,Inputs!$B$114/Inputs!$B$101,_xlfn.IFS((2036-Inputs!$B$9)=2028,Inputs!$B$102/Inputs!$B$89,(2036-Inputs!$B$9)=2029,Inputs!$B$103/Inputs!$B$90,(2036-Inputs!$B$9)=2030,Inputs!$B$104/Inputs!$B$91,(2036-Inputs!$B$9)=2031,Inputs!$B$105/Inputs!$B$92,(2036-Inputs!$B$9)=2032,Inputs!$B$106/Inputs!$B$93,(2036-Inputs!$B$9)=2033,Inputs!$B$107/Inputs!$B$94,(2036-Inputs!$B$9)=2034,Inputs!$B$108/Inputs!$B$95,(2036-Inputs!$B$9)=2035,Inputs!$B$109/Inputs!$B$96,(2036-Inputs!$B$9)=2036,Inputs!$B$110/Inputs!$B$97,(2036-Inputs!$B$9)=2037,Inputs!$B$111/Inputs!$B$98,(2036-Inputs!$B$9)=2038,Inputs!$B$112/Inputs!$B$99,(2036-Inputs!$B$9)=2039,Inputs!$B$113/Inputs!$B$100,(2036-Inputs!$B$9)=2040,Inputs!$B$114/Inputs!$B$101)))</f>
        <v>0.403922320173758</v>
      </c>
      <c r="O18" s="50" t="n">
        <f aca="false">IF((2037-Inputs!$B$9)&lt;2028,0,IF((2037-Inputs!$B$9)&gt;2040,Inputs!$B$114/Inputs!$B$101,_xlfn.IFS((2037-Inputs!$B$9)=2028,Inputs!$B$102/Inputs!$B$89,(2037-Inputs!$B$9)=2029,Inputs!$B$103/Inputs!$B$90,(2037-Inputs!$B$9)=2030,Inputs!$B$104/Inputs!$B$91,(2037-Inputs!$B$9)=2031,Inputs!$B$105/Inputs!$B$92,(2037-Inputs!$B$9)=2032,Inputs!$B$106/Inputs!$B$93,(2037-Inputs!$B$9)=2033,Inputs!$B$107/Inputs!$B$94,(2037-Inputs!$B$9)=2034,Inputs!$B$108/Inputs!$B$95,(2037-Inputs!$B$9)=2035,Inputs!$B$109/Inputs!$B$96,(2037-Inputs!$B$9)=2036,Inputs!$B$110/Inputs!$B$97,(2037-Inputs!$B$9)=2037,Inputs!$B$111/Inputs!$B$98,(2037-Inputs!$B$9)=2038,Inputs!$B$112/Inputs!$B$99,(2037-Inputs!$B$9)=2039,Inputs!$B$113/Inputs!$B$100,(2037-Inputs!$B$9)=2040,Inputs!$B$114/Inputs!$B$101)))</f>
        <v>0.411597741492446</v>
      </c>
      <c r="P18" s="50" t="n">
        <f aca="false">IF((2038-Inputs!$B$9)&lt;2028,0,IF((2038-Inputs!$B$9)&gt;2040,Inputs!$B$114/Inputs!$B$101,_xlfn.IFS((2038-Inputs!$B$9)=2028,Inputs!$B$102/Inputs!$B$89,(2038-Inputs!$B$9)=2029,Inputs!$B$103/Inputs!$B$90,(2038-Inputs!$B$9)=2030,Inputs!$B$104/Inputs!$B$91,(2038-Inputs!$B$9)=2031,Inputs!$B$105/Inputs!$B$92,(2038-Inputs!$B$9)=2032,Inputs!$B$106/Inputs!$B$93,(2038-Inputs!$B$9)=2033,Inputs!$B$107/Inputs!$B$94,(2038-Inputs!$B$9)=2034,Inputs!$B$108/Inputs!$B$95,(2038-Inputs!$B$9)=2035,Inputs!$B$109/Inputs!$B$96,(2038-Inputs!$B$9)=2036,Inputs!$B$110/Inputs!$B$97,(2038-Inputs!$B$9)=2037,Inputs!$B$111/Inputs!$B$98,(2038-Inputs!$B$9)=2038,Inputs!$B$112/Inputs!$B$99,(2038-Inputs!$B$9)=2039,Inputs!$B$113/Inputs!$B$100,(2038-Inputs!$B$9)=2040,Inputs!$B$114/Inputs!$B$101)))</f>
        <v>0.418470477515447</v>
      </c>
      <c r="Q18" s="50" t="n">
        <f aca="false">IF((2039-Inputs!$B$9)&lt;2028,0,IF((2039-Inputs!$B$9)&gt;2040,Inputs!$B$114/Inputs!$B$101,_xlfn.IFS((2039-Inputs!$B$9)=2028,Inputs!$B$102/Inputs!$B$89,(2039-Inputs!$B$9)=2029,Inputs!$B$103/Inputs!$B$90,(2039-Inputs!$B$9)=2030,Inputs!$B$104/Inputs!$B$91,(2039-Inputs!$B$9)=2031,Inputs!$B$105/Inputs!$B$92,(2039-Inputs!$B$9)=2032,Inputs!$B$106/Inputs!$B$93,(2039-Inputs!$B$9)=2033,Inputs!$B$107/Inputs!$B$94,(2039-Inputs!$B$9)=2034,Inputs!$B$108/Inputs!$B$95,(2039-Inputs!$B$9)=2035,Inputs!$B$109/Inputs!$B$96,(2039-Inputs!$B$9)=2036,Inputs!$B$110/Inputs!$B$97,(2039-Inputs!$B$9)=2037,Inputs!$B$111/Inputs!$B$98,(2039-Inputs!$B$9)=2038,Inputs!$B$112/Inputs!$B$99,(2039-Inputs!$B$9)=2039,Inputs!$B$113/Inputs!$B$100,(2039-Inputs!$B$9)=2040,Inputs!$B$114/Inputs!$B$101)))</f>
        <v>0.42541927549195</v>
      </c>
      <c r="R18" s="50" t="n">
        <f aca="false">IF((2040-Inputs!$B$9)&lt;2028,0,IF((2040-Inputs!$B$9)&gt;2040,Inputs!$B$114/Inputs!$B$101,_xlfn.IFS((2040-Inputs!$B$9)=2028,Inputs!$B$102/Inputs!$B$89,(2040-Inputs!$B$9)=2029,Inputs!$B$103/Inputs!$B$90,(2040-Inputs!$B$9)=2030,Inputs!$B$104/Inputs!$B$91,(2040-Inputs!$B$9)=2031,Inputs!$B$105/Inputs!$B$92,(2040-Inputs!$B$9)=2032,Inputs!$B$106/Inputs!$B$93,(2040-Inputs!$B$9)=2033,Inputs!$B$107/Inputs!$B$94,(2040-Inputs!$B$9)=2034,Inputs!$B$108/Inputs!$B$95,(2040-Inputs!$B$9)=2035,Inputs!$B$109/Inputs!$B$96,(2040-Inputs!$B$9)=2036,Inputs!$B$110/Inputs!$B$97,(2040-Inputs!$B$9)=2037,Inputs!$B$111/Inputs!$B$98,(2040-Inputs!$B$9)=2038,Inputs!$B$112/Inputs!$B$99,(2040-Inputs!$B$9)=2039,Inputs!$B$113/Inputs!$B$100,(2040-Inputs!$B$9)=2040,Inputs!$B$114/Inputs!$B$101)))</f>
        <v>0.432371486587582</v>
      </c>
      <c r="S18" s="50" t="n">
        <f aca="false">IF((2041-Inputs!$B$9)&lt;2028,0,IF((2041-Inputs!$B$9)&gt;2040,Inputs!$B$114/Inputs!$B$101,_xlfn.IFS((2041-Inputs!$B$9)=2028,Inputs!$B$102/Inputs!$B$89,(2041-Inputs!$B$9)=2029,Inputs!$B$103/Inputs!$B$90,(2041-Inputs!$B$9)=2030,Inputs!$B$104/Inputs!$B$91,(2041-Inputs!$B$9)=2031,Inputs!$B$105/Inputs!$B$92,(2041-Inputs!$B$9)=2032,Inputs!$B$106/Inputs!$B$93,(2041-Inputs!$B$9)=2033,Inputs!$B$107/Inputs!$B$94,(2041-Inputs!$B$9)=2034,Inputs!$B$108/Inputs!$B$95,(2041-Inputs!$B$9)=2035,Inputs!$B$109/Inputs!$B$96,(2041-Inputs!$B$9)=2036,Inputs!$B$110/Inputs!$B$97,(2041-Inputs!$B$9)=2037,Inputs!$B$111/Inputs!$B$98,(2041-Inputs!$B$9)=2038,Inputs!$B$112/Inputs!$B$99,(2041-Inputs!$B$9)=2039,Inputs!$B$113/Inputs!$B$100,(2041-Inputs!$B$9)=2040,Inputs!$B$114/Inputs!$B$101)))</f>
        <v>0.432371486587582</v>
      </c>
      <c r="T18" s="50" t="n">
        <f aca="false">IF((2042-Inputs!$B$9)&lt;2028,0,IF((2042-Inputs!$B$9)&gt;2040,Inputs!$B$114/Inputs!$B$101,_xlfn.IFS((2042-Inputs!$B$9)=2028,Inputs!$B$102/Inputs!$B$89,(2042-Inputs!$B$9)=2029,Inputs!$B$103/Inputs!$B$90,(2042-Inputs!$B$9)=2030,Inputs!$B$104/Inputs!$B$91,(2042-Inputs!$B$9)=2031,Inputs!$B$105/Inputs!$B$92,(2042-Inputs!$B$9)=2032,Inputs!$B$106/Inputs!$B$93,(2042-Inputs!$B$9)=2033,Inputs!$B$107/Inputs!$B$94,(2042-Inputs!$B$9)=2034,Inputs!$B$108/Inputs!$B$95,(2042-Inputs!$B$9)=2035,Inputs!$B$109/Inputs!$B$96,(2042-Inputs!$B$9)=2036,Inputs!$B$110/Inputs!$B$97,(2042-Inputs!$B$9)=2037,Inputs!$B$111/Inputs!$B$98,(2042-Inputs!$B$9)=2038,Inputs!$B$112/Inputs!$B$99,(2042-Inputs!$B$9)=2039,Inputs!$B$113/Inputs!$B$100,(2042-Inputs!$B$9)=2040,Inputs!$B$114/Inputs!$B$101)))</f>
        <v>0.432371486587582</v>
      </c>
      <c r="U18" s="50" t="n">
        <f aca="false">IF((2043-Inputs!$B$9)&lt;2028,0,IF((2043-Inputs!$B$9)&gt;2040,Inputs!$B$114/Inputs!$B$101,_xlfn.IFS((2043-Inputs!$B$9)=2028,Inputs!$B$102/Inputs!$B$89,(2043-Inputs!$B$9)=2029,Inputs!$B$103/Inputs!$B$90,(2043-Inputs!$B$9)=2030,Inputs!$B$104/Inputs!$B$91,(2043-Inputs!$B$9)=2031,Inputs!$B$105/Inputs!$B$92,(2043-Inputs!$B$9)=2032,Inputs!$B$106/Inputs!$B$93,(2043-Inputs!$B$9)=2033,Inputs!$B$107/Inputs!$B$94,(2043-Inputs!$B$9)=2034,Inputs!$B$108/Inputs!$B$95,(2043-Inputs!$B$9)=2035,Inputs!$B$109/Inputs!$B$96,(2043-Inputs!$B$9)=2036,Inputs!$B$110/Inputs!$B$97,(2043-Inputs!$B$9)=2037,Inputs!$B$111/Inputs!$B$98,(2043-Inputs!$B$9)=2038,Inputs!$B$112/Inputs!$B$99,(2043-Inputs!$B$9)=2039,Inputs!$B$113/Inputs!$B$100,(2043-Inputs!$B$9)=2040,Inputs!$B$114/Inputs!$B$101)))</f>
        <v>0.432371486587582</v>
      </c>
      <c r="V18" s="50" t="n">
        <f aca="false">IF((2044-Inputs!$B$9)&lt;2028,0,IF((2044-Inputs!$B$9)&gt;2040,Inputs!$B$114/Inputs!$B$101,_xlfn.IFS((2044-Inputs!$B$9)=2028,Inputs!$B$102/Inputs!$B$89,(2044-Inputs!$B$9)=2029,Inputs!$B$103/Inputs!$B$90,(2044-Inputs!$B$9)=2030,Inputs!$B$104/Inputs!$B$91,(2044-Inputs!$B$9)=2031,Inputs!$B$105/Inputs!$B$92,(2044-Inputs!$B$9)=2032,Inputs!$B$106/Inputs!$B$93,(2044-Inputs!$B$9)=2033,Inputs!$B$107/Inputs!$B$94,(2044-Inputs!$B$9)=2034,Inputs!$B$108/Inputs!$B$95,(2044-Inputs!$B$9)=2035,Inputs!$B$109/Inputs!$B$96,(2044-Inputs!$B$9)=2036,Inputs!$B$110/Inputs!$B$97,(2044-Inputs!$B$9)=2037,Inputs!$B$111/Inputs!$B$98,(2044-Inputs!$B$9)=2038,Inputs!$B$112/Inputs!$B$99,(2044-Inputs!$B$9)=2039,Inputs!$B$113/Inputs!$B$100,(2044-Inputs!$B$9)=2040,Inputs!$B$114/Inputs!$B$101)))</f>
        <v>0.432371486587582</v>
      </c>
      <c r="W18" s="50" t="n">
        <f aca="false">IF((2045-Inputs!$B$9)&lt;2028,0,IF((2045-Inputs!$B$9)&gt;2040,Inputs!$B$114/Inputs!$B$101,_xlfn.IFS((2045-Inputs!$B$9)=2028,Inputs!$B$102/Inputs!$B$89,(2045-Inputs!$B$9)=2029,Inputs!$B$103/Inputs!$B$90,(2045-Inputs!$B$9)=2030,Inputs!$B$104/Inputs!$B$91,(2045-Inputs!$B$9)=2031,Inputs!$B$105/Inputs!$B$92,(2045-Inputs!$B$9)=2032,Inputs!$B$106/Inputs!$B$93,(2045-Inputs!$B$9)=2033,Inputs!$B$107/Inputs!$B$94,(2045-Inputs!$B$9)=2034,Inputs!$B$108/Inputs!$B$95,(2045-Inputs!$B$9)=2035,Inputs!$B$109/Inputs!$B$96,(2045-Inputs!$B$9)=2036,Inputs!$B$110/Inputs!$B$97,(2045-Inputs!$B$9)=2037,Inputs!$B$111/Inputs!$B$98,(2045-Inputs!$B$9)=2038,Inputs!$B$112/Inputs!$B$99,(2045-Inputs!$B$9)=2039,Inputs!$B$113/Inputs!$B$100,(2045-Inputs!$B$9)=2040,Inputs!$B$114/Inputs!$B$101)))</f>
        <v>0.432371486587582</v>
      </c>
      <c r="X18" s="50" t="n">
        <f aca="false">IF((2046-Inputs!$B$9)&lt;2028,0,IF((2046-Inputs!$B$9)&gt;2040,Inputs!$B$114/Inputs!$B$101,_xlfn.IFS((2046-Inputs!$B$9)=2028,Inputs!$B$102/Inputs!$B$89,(2046-Inputs!$B$9)=2029,Inputs!$B$103/Inputs!$B$90,(2046-Inputs!$B$9)=2030,Inputs!$B$104/Inputs!$B$91,(2046-Inputs!$B$9)=2031,Inputs!$B$105/Inputs!$B$92,(2046-Inputs!$B$9)=2032,Inputs!$B$106/Inputs!$B$93,(2046-Inputs!$B$9)=2033,Inputs!$B$107/Inputs!$B$94,(2046-Inputs!$B$9)=2034,Inputs!$B$108/Inputs!$B$95,(2046-Inputs!$B$9)=2035,Inputs!$B$109/Inputs!$B$96,(2046-Inputs!$B$9)=2036,Inputs!$B$110/Inputs!$B$97,(2046-Inputs!$B$9)=2037,Inputs!$B$111/Inputs!$B$98,(2046-Inputs!$B$9)=2038,Inputs!$B$112/Inputs!$B$99,(2046-Inputs!$B$9)=2039,Inputs!$B$113/Inputs!$B$100,(2046-Inputs!$B$9)=2040,Inputs!$B$114/Inputs!$B$101)))</f>
        <v>0.432371486587582</v>
      </c>
      <c r="Y18" s="50" t="n">
        <f aca="false">IF((2047-Inputs!$B$9)&lt;2028,0,IF((2047-Inputs!$B$9)&gt;2040,Inputs!$B$114/Inputs!$B$101,_xlfn.IFS((2047-Inputs!$B$9)=2028,Inputs!$B$102/Inputs!$B$89,(2047-Inputs!$B$9)=2029,Inputs!$B$103/Inputs!$B$90,(2047-Inputs!$B$9)=2030,Inputs!$B$104/Inputs!$B$91,(2047-Inputs!$B$9)=2031,Inputs!$B$105/Inputs!$B$92,(2047-Inputs!$B$9)=2032,Inputs!$B$106/Inputs!$B$93,(2047-Inputs!$B$9)=2033,Inputs!$B$107/Inputs!$B$94,(2047-Inputs!$B$9)=2034,Inputs!$B$108/Inputs!$B$95,(2047-Inputs!$B$9)=2035,Inputs!$B$109/Inputs!$B$96,(2047-Inputs!$B$9)=2036,Inputs!$B$110/Inputs!$B$97,(2047-Inputs!$B$9)=2037,Inputs!$B$111/Inputs!$B$98,(2047-Inputs!$B$9)=2038,Inputs!$B$112/Inputs!$B$99,(2047-Inputs!$B$9)=2039,Inputs!$B$113/Inputs!$B$100,(2047-Inputs!$B$9)=2040,Inputs!$B$114/Inputs!$B$101)))</f>
        <v>0.432371486587582</v>
      </c>
      <c r="Z18" s="50" t="n">
        <f aca="false">IF((2048-Inputs!$B$9)&lt;2028,0,IF((2048-Inputs!$B$9)&gt;2040,Inputs!$B$114/Inputs!$B$101,_xlfn.IFS((2048-Inputs!$B$9)=2028,Inputs!$B$102/Inputs!$B$89,(2048-Inputs!$B$9)=2029,Inputs!$B$103/Inputs!$B$90,(2048-Inputs!$B$9)=2030,Inputs!$B$104/Inputs!$B$91,(2048-Inputs!$B$9)=2031,Inputs!$B$105/Inputs!$B$92,(2048-Inputs!$B$9)=2032,Inputs!$B$106/Inputs!$B$93,(2048-Inputs!$B$9)=2033,Inputs!$B$107/Inputs!$B$94,(2048-Inputs!$B$9)=2034,Inputs!$B$108/Inputs!$B$95,(2048-Inputs!$B$9)=2035,Inputs!$B$109/Inputs!$B$96,(2048-Inputs!$B$9)=2036,Inputs!$B$110/Inputs!$B$97,(2048-Inputs!$B$9)=2037,Inputs!$B$111/Inputs!$B$98,(2048-Inputs!$B$9)=2038,Inputs!$B$112/Inputs!$B$99,(2048-Inputs!$B$9)=2039,Inputs!$B$113/Inputs!$B$100,(2048-Inputs!$B$9)=2040,Inputs!$B$114/Inputs!$B$101)))</f>
        <v>0.432371486587582</v>
      </c>
      <c r="AA18" s="50" t="n">
        <f aca="false">IF((2049-Inputs!$B$9)&lt;2028,0,IF((2049-Inputs!$B$9)&gt;2040,Inputs!$B$114/Inputs!$B$101,_xlfn.IFS((2049-Inputs!$B$9)=2028,Inputs!$B$102/Inputs!$B$89,(2049-Inputs!$B$9)=2029,Inputs!$B$103/Inputs!$B$90,(2049-Inputs!$B$9)=2030,Inputs!$B$104/Inputs!$B$91,(2049-Inputs!$B$9)=2031,Inputs!$B$105/Inputs!$B$92,(2049-Inputs!$B$9)=2032,Inputs!$B$106/Inputs!$B$93,(2049-Inputs!$B$9)=2033,Inputs!$B$107/Inputs!$B$94,(2049-Inputs!$B$9)=2034,Inputs!$B$108/Inputs!$B$95,(2049-Inputs!$B$9)=2035,Inputs!$B$109/Inputs!$B$96,(2049-Inputs!$B$9)=2036,Inputs!$B$110/Inputs!$B$97,(2049-Inputs!$B$9)=2037,Inputs!$B$111/Inputs!$B$98,(2049-Inputs!$B$9)=2038,Inputs!$B$112/Inputs!$B$99,(2049-Inputs!$B$9)=2039,Inputs!$B$113/Inputs!$B$100,(2049-Inputs!$B$9)=2040,Inputs!$B$114/Inputs!$B$101)))</f>
        <v>0.432371486587582</v>
      </c>
      <c r="AB18" s="50" t="n">
        <f aca="false">IF((2050-Inputs!$B$9)&lt;2028,0,IF((2050-Inputs!$B$9)&gt;2040,Inputs!$B$114/Inputs!$B$101,_xlfn.IFS((2050-Inputs!$B$9)=2028,Inputs!$B$102/Inputs!$B$89,(2050-Inputs!$B$9)=2029,Inputs!$B$103/Inputs!$B$90,(2050-Inputs!$B$9)=2030,Inputs!$B$104/Inputs!$B$91,(2050-Inputs!$B$9)=2031,Inputs!$B$105/Inputs!$B$92,(2050-Inputs!$B$9)=2032,Inputs!$B$106/Inputs!$B$93,(2050-Inputs!$B$9)=2033,Inputs!$B$107/Inputs!$B$94,(2050-Inputs!$B$9)=2034,Inputs!$B$108/Inputs!$B$95,(2050-Inputs!$B$9)=2035,Inputs!$B$109/Inputs!$B$96,(2050-Inputs!$B$9)=2036,Inputs!$B$110/Inputs!$B$97,(2050-Inputs!$B$9)=2037,Inputs!$B$111/Inputs!$B$98,(2050-Inputs!$B$9)=2038,Inputs!$B$112/Inputs!$B$99,(2050-Inputs!$B$9)=2039,Inputs!$B$113/Inputs!$B$100,(2050-Inputs!$B$9)=2040,Inputs!$B$114/Inputs!$B$101)))</f>
        <v>0.432371486587582</v>
      </c>
      <c r="AC18" s="50" t="n">
        <f aca="false">IF((2051-Inputs!$B$9)&lt;2028,0,IF((2051-Inputs!$B$9)&gt;2040,Inputs!$B$114/Inputs!$B$101,_xlfn.IFS((2051-Inputs!$B$9)=2028,Inputs!$B$102/Inputs!$B$89,(2051-Inputs!$B$9)=2029,Inputs!$B$103/Inputs!$B$90,(2051-Inputs!$B$9)=2030,Inputs!$B$104/Inputs!$B$91,(2051-Inputs!$B$9)=2031,Inputs!$B$105/Inputs!$B$92,(2051-Inputs!$B$9)=2032,Inputs!$B$106/Inputs!$B$93,(2051-Inputs!$B$9)=2033,Inputs!$B$107/Inputs!$B$94,(2051-Inputs!$B$9)=2034,Inputs!$B$108/Inputs!$B$95,(2051-Inputs!$B$9)=2035,Inputs!$B$109/Inputs!$B$96,(2051-Inputs!$B$9)=2036,Inputs!$B$110/Inputs!$B$97,(2051-Inputs!$B$9)=2037,Inputs!$B$111/Inputs!$B$98,(2051-Inputs!$B$9)=2038,Inputs!$B$112/Inputs!$B$99,(2051-Inputs!$B$9)=2039,Inputs!$B$113/Inputs!$B$100,(2051-Inputs!$B$9)=2040,Inputs!$B$114/Inputs!$B$101)))</f>
        <v>0.432371486587582</v>
      </c>
      <c r="AD18" s="50" t="n">
        <f aca="false">IF((2052-Inputs!$B$9)&lt;2028,0,IF((2052-Inputs!$B$9)&gt;2040,Inputs!$B$114/Inputs!$B$101,_xlfn.IFS((2052-Inputs!$B$9)=2028,Inputs!$B$102/Inputs!$B$89,(2052-Inputs!$B$9)=2029,Inputs!$B$103/Inputs!$B$90,(2052-Inputs!$B$9)=2030,Inputs!$B$104/Inputs!$B$91,(2052-Inputs!$B$9)=2031,Inputs!$B$105/Inputs!$B$92,(2052-Inputs!$B$9)=2032,Inputs!$B$106/Inputs!$B$93,(2052-Inputs!$B$9)=2033,Inputs!$B$107/Inputs!$B$94,(2052-Inputs!$B$9)=2034,Inputs!$B$108/Inputs!$B$95,(2052-Inputs!$B$9)=2035,Inputs!$B$109/Inputs!$B$96,(2052-Inputs!$B$9)=2036,Inputs!$B$110/Inputs!$B$97,(2052-Inputs!$B$9)=2037,Inputs!$B$111/Inputs!$B$98,(2052-Inputs!$B$9)=2038,Inputs!$B$112/Inputs!$B$99,(2052-Inputs!$B$9)=2039,Inputs!$B$113/Inputs!$B$100,(2052-Inputs!$B$9)=2040,Inputs!$B$114/Inputs!$B$101)))</f>
        <v>0.432371486587582</v>
      </c>
      <c r="AE18" s="50" t="n">
        <f aca="false">IF((2053-Inputs!$B$9)&lt;2028,0,IF((2053-Inputs!$B$9)&gt;2040,Inputs!$B$114/Inputs!$B$101,_xlfn.IFS((2053-Inputs!$B$9)=2028,Inputs!$B$102/Inputs!$B$89,(2053-Inputs!$B$9)=2029,Inputs!$B$103/Inputs!$B$90,(2053-Inputs!$B$9)=2030,Inputs!$B$104/Inputs!$B$91,(2053-Inputs!$B$9)=2031,Inputs!$B$105/Inputs!$B$92,(2053-Inputs!$B$9)=2032,Inputs!$B$106/Inputs!$B$93,(2053-Inputs!$B$9)=2033,Inputs!$B$107/Inputs!$B$94,(2053-Inputs!$B$9)=2034,Inputs!$B$108/Inputs!$B$95,(2053-Inputs!$B$9)=2035,Inputs!$B$109/Inputs!$B$96,(2053-Inputs!$B$9)=2036,Inputs!$B$110/Inputs!$B$97,(2053-Inputs!$B$9)=2037,Inputs!$B$111/Inputs!$B$98,(2053-Inputs!$B$9)=2038,Inputs!$B$112/Inputs!$B$99,(2053-Inputs!$B$9)=2039,Inputs!$B$113/Inputs!$B$100,(2053-Inputs!$B$9)=2040,Inputs!$B$114/Inputs!$B$101)))</f>
        <v>0.432371486587582</v>
      </c>
      <c r="AF18" s="50" t="n">
        <f aca="false">IF((2054-Inputs!$B$9)&lt;2028,0,IF((2054-Inputs!$B$9)&gt;2040,Inputs!$B$114/Inputs!$B$101,_xlfn.IFS((2054-Inputs!$B$9)=2028,Inputs!$B$102/Inputs!$B$89,(2054-Inputs!$B$9)=2029,Inputs!$B$103/Inputs!$B$90,(2054-Inputs!$B$9)=2030,Inputs!$B$104/Inputs!$B$91,(2054-Inputs!$B$9)=2031,Inputs!$B$105/Inputs!$B$92,(2054-Inputs!$B$9)=2032,Inputs!$B$106/Inputs!$B$93,(2054-Inputs!$B$9)=2033,Inputs!$B$107/Inputs!$B$94,(2054-Inputs!$B$9)=2034,Inputs!$B$108/Inputs!$B$95,(2054-Inputs!$B$9)=2035,Inputs!$B$109/Inputs!$B$96,(2054-Inputs!$B$9)=2036,Inputs!$B$110/Inputs!$B$97,(2054-Inputs!$B$9)=2037,Inputs!$B$111/Inputs!$B$98,(2054-Inputs!$B$9)=2038,Inputs!$B$112/Inputs!$B$99,(2054-Inputs!$B$9)=2039,Inputs!$B$113/Inputs!$B$100,(2054-Inputs!$B$9)=2040,Inputs!$B$114/Inputs!$B$101)))</f>
        <v>0.432371486587582</v>
      </c>
      <c r="AG18" s="50" t="n">
        <f aca="false">IF((2055-Inputs!$B$9)&lt;2028,0,IF((2055-Inputs!$B$9)&gt;2040,Inputs!$B$114/Inputs!$B$101,_xlfn.IFS((2055-Inputs!$B$9)=2028,Inputs!$B$102/Inputs!$B$89,(2055-Inputs!$B$9)=2029,Inputs!$B$103/Inputs!$B$90,(2055-Inputs!$B$9)=2030,Inputs!$B$104/Inputs!$B$91,(2055-Inputs!$B$9)=2031,Inputs!$B$105/Inputs!$B$92,(2055-Inputs!$B$9)=2032,Inputs!$B$106/Inputs!$B$93,(2055-Inputs!$B$9)=2033,Inputs!$B$107/Inputs!$B$94,(2055-Inputs!$B$9)=2034,Inputs!$B$108/Inputs!$B$95,(2055-Inputs!$B$9)=2035,Inputs!$B$109/Inputs!$B$96,(2055-Inputs!$B$9)=2036,Inputs!$B$110/Inputs!$B$97,(2055-Inputs!$B$9)=2037,Inputs!$B$111/Inputs!$B$98,(2055-Inputs!$B$9)=2038,Inputs!$B$112/Inputs!$B$99,(2055-Inputs!$B$9)=2039,Inputs!$B$113/Inputs!$B$100,(2055-Inputs!$B$9)=2040,Inputs!$B$114/Inputs!$B$101)))</f>
        <v>0.432371486587582</v>
      </c>
      <c r="AH18" s="50" t="n">
        <f aca="false">IF((2056-Inputs!$B$9)&lt;2028,0,IF((2056-Inputs!$B$9)&gt;2040,Inputs!$B$114/Inputs!$B$101,_xlfn.IFS((2056-Inputs!$B$9)=2028,Inputs!$B$102/Inputs!$B$89,(2056-Inputs!$B$9)=2029,Inputs!$B$103/Inputs!$B$90,(2056-Inputs!$B$9)=2030,Inputs!$B$104/Inputs!$B$91,(2056-Inputs!$B$9)=2031,Inputs!$B$105/Inputs!$B$92,(2056-Inputs!$B$9)=2032,Inputs!$B$106/Inputs!$B$93,(2056-Inputs!$B$9)=2033,Inputs!$B$107/Inputs!$B$94,(2056-Inputs!$B$9)=2034,Inputs!$B$108/Inputs!$B$95,(2056-Inputs!$B$9)=2035,Inputs!$B$109/Inputs!$B$96,(2056-Inputs!$B$9)=2036,Inputs!$B$110/Inputs!$B$97,(2056-Inputs!$B$9)=2037,Inputs!$B$111/Inputs!$B$98,(2056-Inputs!$B$9)=2038,Inputs!$B$112/Inputs!$B$99,(2056-Inputs!$B$9)=2039,Inputs!$B$113/Inputs!$B$100,(2056-Inputs!$B$9)=2040,Inputs!$B$114/Inputs!$B$101)))</f>
        <v>0.432371486587582</v>
      </c>
      <c r="AI18" s="50" t="n">
        <f aca="false">IF((2057-Inputs!$B$9)&lt;2028,0,IF((2057-Inputs!$B$9)&gt;2040,Inputs!$B$114/Inputs!$B$101,_xlfn.IFS((2057-Inputs!$B$9)=2028,Inputs!$B$102/Inputs!$B$89,(2057-Inputs!$B$9)=2029,Inputs!$B$103/Inputs!$B$90,(2057-Inputs!$B$9)=2030,Inputs!$B$104/Inputs!$B$91,(2057-Inputs!$B$9)=2031,Inputs!$B$105/Inputs!$B$92,(2057-Inputs!$B$9)=2032,Inputs!$B$106/Inputs!$B$93,(2057-Inputs!$B$9)=2033,Inputs!$B$107/Inputs!$B$94,(2057-Inputs!$B$9)=2034,Inputs!$B$108/Inputs!$B$95,(2057-Inputs!$B$9)=2035,Inputs!$B$109/Inputs!$B$96,(2057-Inputs!$B$9)=2036,Inputs!$B$110/Inputs!$B$97,(2057-Inputs!$B$9)=2037,Inputs!$B$111/Inputs!$B$98,(2057-Inputs!$B$9)=2038,Inputs!$B$112/Inputs!$B$99,(2057-Inputs!$B$9)=2039,Inputs!$B$113/Inputs!$B$100,(2057-Inputs!$B$9)=2040,Inputs!$B$114/Inputs!$B$101)))</f>
        <v>0.432371486587582</v>
      </c>
      <c r="AJ18" s="50" t="n">
        <f aca="false">IF((2058-Inputs!$B$9)&lt;2028,0,IF((2058-Inputs!$B$9)&gt;2040,Inputs!$B$114/Inputs!$B$101,_xlfn.IFS((2058-Inputs!$B$9)=2028,Inputs!$B$102/Inputs!$B$89,(2058-Inputs!$B$9)=2029,Inputs!$B$103/Inputs!$B$90,(2058-Inputs!$B$9)=2030,Inputs!$B$104/Inputs!$B$91,(2058-Inputs!$B$9)=2031,Inputs!$B$105/Inputs!$B$92,(2058-Inputs!$B$9)=2032,Inputs!$B$106/Inputs!$B$93,(2058-Inputs!$B$9)=2033,Inputs!$B$107/Inputs!$B$94,(2058-Inputs!$B$9)=2034,Inputs!$B$108/Inputs!$B$95,(2058-Inputs!$B$9)=2035,Inputs!$B$109/Inputs!$B$96,(2058-Inputs!$B$9)=2036,Inputs!$B$110/Inputs!$B$97,(2058-Inputs!$B$9)=2037,Inputs!$B$111/Inputs!$B$98,(2058-Inputs!$B$9)=2038,Inputs!$B$112/Inputs!$B$99,(2058-Inputs!$B$9)=2039,Inputs!$B$113/Inputs!$B$100,(2058-Inputs!$B$9)=2040,Inputs!$B$114/Inputs!$B$101)))</f>
        <v>0.432371486587582</v>
      </c>
      <c r="AK18" s="50" t="n">
        <f aca="false">IF((2059-Inputs!$B$9)&lt;2028,0,IF((2059-Inputs!$B$9)&gt;2040,Inputs!$B$114/Inputs!$B$101,_xlfn.IFS((2059-Inputs!$B$9)=2028,Inputs!$B$102/Inputs!$B$89,(2059-Inputs!$B$9)=2029,Inputs!$B$103/Inputs!$B$90,(2059-Inputs!$B$9)=2030,Inputs!$B$104/Inputs!$B$91,(2059-Inputs!$B$9)=2031,Inputs!$B$105/Inputs!$B$92,(2059-Inputs!$B$9)=2032,Inputs!$B$106/Inputs!$B$93,(2059-Inputs!$B$9)=2033,Inputs!$B$107/Inputs!$B$94,(2059-Inputs!$B$9)=2034,Inputs!$B$108/Inputs!$B$95,(2059-Inputs!$B$9)=2035,Inputs!$B$109/Inputs!$B$96,(2059-Inputs!$B$9)=2036,Inputs!$B$110/Inputs!$B$97,(2059-Inputs!$B$9)=2037,Inputs!$B$111/Inputs!$B$98,(2059-Inputs!$B$9)=2038,Inputs!$B$112/Inputs!$B$99,(2059-Inputs!$B$9)=2039,Inputs!$B$113/Inputs!$B$100,(2059-Inputs!$B$9)=2040,Inputs!$B$114/Inputs!$B$101)))</f>
        <v>0.432371486587582</v>
      </c>
      <c r="AL18" s="50" t="n">
        <f aca="false">IF((2060-Inputs!$B$9)&lt;2028,0,IF((2060-Inputs!$B$9)&gt;2040,Inputs!$B$114/Inputs!$B$101,_xlfn.IFS((2060-Inputs!$B$9)=2028,Inputs!$B$102/Inputs!$B$89,(2060-Inputs!$B$9)=2029,Inputs!$B$103/Inputs!$B$90,(2060-Inputs!$B$9)=2030,Inputs!$B$104/Inputs!$B$91,(2060-Inputs!$B$9)=2031,Inputs!$B$105/Inputs!$B$92,(2060-Inputs!$B$9)=2032,Inputs!$B$106/Inputs!$B$93,(2060-Inputs!$B$9)=2033,Inputs!$B$107/Inputs!$B$94,(2060-Inputs!$B$9)=2034,Inputs!$B$108/Inputs!$B$95,(2060-Inputs!$B$9)=2035,Inputs!$B$109/Inputs!$B$96,(2060-Inputs!$B$9)=2036,Inputs!$B$110/Inputs!$B$97,(2060-Inputs!$B$9)=2037,Inputs!$B$111/Inputs!$B$98,(2060-Inputs!$B$9)=2038,Inputs!$B$112/Inputs!$B$99,(2060-Inputs!$B$9)=2039,Inputs!$B$113/Inputs!$B$100,(2060-Inputs!$B$9)=2040,Inputs!$B$114/Inputs!$B$101)))</f>
        <v>0.432371486587582</v>
      </c>
      <c r="AM18" s="50" t="n">
        <f aca="false">IF((2061-Inputs!$B$9)&lt;2028,0,IF((2061-Inputs!$B$9)&gt;2040,Inputs!$B$114/Inputs!$B$101,_xlfn.IFS((2061-Inputs!$B$9)=2028,Inputs!$B$102/Inputs!$B$89,(2061-Inputs!$B$9)=2029,Inputs!$B$103/Inputs!$B$90,(2061-Inputs!$B$9)=2030,Inputs!$B$104/Inputs!$B$91,(2061-Inputs!$B$9)=2031,Inputs!$B$105/Inputs!$B$92,(2061-Inputs!$B$9)=2032,Inputs!$B$106/Inputs!$B$93,(2061-Inputs!$B$9)=2033,Inputs!$B$107/Inputs!$B$94,(2061-Inputs!$B$9)=2034,Inputs!$B$108/Inputs!$B$95,(2061-Inputs!$B$9)=2035,Inputs!$B$109/Inputs!$B$96,(2061-Inputs!$B$9)=2036,Inputs!$B$110/Inputs!$B$97,(2061-Inputs!$B$9)=2037,Inputs!$B$111/Inputs!$B$98,(2061-Inputs!$B$9)=2038,Inputs!$B$112/Inputs!$B$99,(2061-Inputs!$B$9)=2039,Inputs!$B$113/Inputs!$B$100,(2061-Inputs!$B$9)=2040,Inputs!$B$114/Inputs!$B$101)))</f>
        <v>0.432371486587582</v>
      </c>
      <c r="AN18" s="50" t="n">
        <f aca="false">IF((2062-Inputs!$B$9)&lt;2028,0,IF((2062-Inputs!$B$9)&gt;2040,Inputs!$B$114/Inputs!$B$101,_xlfn.IFS((2062-Inputs!$B$9)=2028,Inputs!$B$102/Inputs!$B$89,(2062-Inputs!$B$9)=2029,Inputs!$B$103/Inputs!$B$90,(2062-Inputs!$B$9)=2030,Inputs!$B$104/Inputs!$B$91,(2062-Inputs!$B$9)=2031,Inputs!$B$105/Inputs!$B$92,(2062-Inputs!$B$9)=2032,Inputs!$B$106/Inputs!$B$93,(2062-Inputs!$B$9)=2033,Inputs!$B$107/Inputs!$B$94,(2062-Inputs!$B$9)=2034,Inputs!$B$108/Inputs!$B$95,(2062-Inputs!$B$9)=2035,Inputs!$B$109/Inputs!$B$96,(2062-Inputs!$B$9)=2036,Inputs!$B$110/Inputs!$B$97,(2062-Inputs!$B$9)=2037,Inputs!$B$111/Inputs!$B$98,(2062-Inputs!$B$9)=2038,Inputs!$B$112/Inputs!$B$99,(2062-Inputs!$B$9)=2039,Inputs!$B$113/Inputs!$B$100,(2062-Inputs!$B$9)=2040,Inputs!$B$114/Inputs!$B$101)))</f>
        <v>0.432371486587582</v>
      </c>
      <c r="AO18" s="50" t="n">
        <f aca="false">IF((2063-Inputs!$B$9)&lt;2028,0,IF((2063-Inputs!$B$9)&gt;2040,Inputs!$B$114/Inputs!$B$101,_xlfn.IFS((2063-Inputs!$B$9)=2028,Inputs!$B$102/Inputs!$B$89,(2063-Inputs!$B$9)=2029,Inputs!$B$103/Inputs!$B$90,(2063-Inputs!$B$9)=2030,Inputs!$B$104/Inputs!$B$91,(2063-Inputs!$B$9)=2031,Inputs!$B$105/Inputs!$B$92,(2063-Inputs!$B$9)=2032,Inputs!$B$106/Inputs!$B$93,(2063-Inputs!$B$9)=2033,Inputs!$B$107/Inputs!$B$94,(2063-Inputs!$B$9)=2034,Inputs!$B$108/Inputs!$B$95,(2063-Inputs!$B$9)=2035,Inputs!$B$109/Inputs!$B$96,(2063-Inputs!$B$9)=2036,Inputs!$B$110/Inputs!$B$97,(2063-Inputs!$B$9)=2037,Inputs!$B$111/Inputs!$B$98,(2063-Inputs!$B$9)=2038,Inputs!$B$112/Inputs!$B$99,(2063-Inputs!$B$9)=2039,Inputs!$B$113/Inputs!$B$100,(2063-Inputs!$B$9)=2040,Inputs!$B$114/Inputs!$B$101)))</f>
        <v>0.432371486587582</v>
      </c>
      <c r="AP18" s="50" t="n">
        <f aca="false">IF((2064-Inputs!$B$9)&lt;2028,0,IF((2064-Inputs!$B$9)&gt;2040,Inputs!$B$114/Inputs!$B$101,_xlfn.IFS((2064-Inputs!$B$9)=2028,Inputs!$B$102/Inputs!$B$89,(2064-Inputs!$B$9)=2029,Inputs!$B$103/Inputs!$B$90,(2064-Inputs!$B$9)=2030,Inputs!$B$104/Inputs!$B$91,(2064-Inputs!$B$9)=2031,Inputs!$B$105/Inputs!$B$92,(2064-Inputs!$B$9)=2032,Inputs!$B$106/Inputs!$B$93,(2064-Inputs!$B$9)=2033,Inputs!$B$107/Inputs!$B$94,(2064-Inputs!$B$9)=2034,Inputs!$B$108/Inputs!$B$95,(2064-Inputs!$B$9)=2035,Inputs!$B$109/Inputs!$B$96,(2064-Inputs!$B$9)=2036,Inputs!$B$110/Inputs!$B$97,(2064-Inputs!$B$9)=2037,Inputs!$B$111/Inputs!$B$98,(2064-Inputs!$B$9)=2038,Inputs!$B$112/Inputs!$B$99,(2064-Inputs!$B$9)=2039,Inputs!$B$113/Inputs!$B$100,(2064-Inputs!$B$9)=2040,Inputs!$B$114/Inputs!$B$101)))</f>
        <v>0.432371486587582</v>
      </c>
      <c r="AQ18" s="50" t="n">
        <f aca="false">IF((2065-Inputs!$B$9)&lt;2028,0,IF((2065-Inputs!$B$9)&gt;2040,Inputs!$B$114/Inputs!$B$101,_xlfn.IFS((2065-Inputs!$B$9)=2028,Inputs!$B$102/Inputs!$B$89,(2065-Inputs!$B$9)=2029,Inputs!$B$103/Inputs!$B$90,(2065-Inputs!$B$9)=2030,Inputs!$B$104/Inputs!$B$91,(2065-Inputs!$B$9)=2031,Inputs!$B$105/Inputs!$B$92,(2065-Inputs!$B$9)=2032,Inputs!$B$106/Inputs!$B$93,(2065-Inputs!$B$9)=2033,Inputs!$B$107/Inputs!$B$94,(2065-Inputs!$B$9)=2034,Inputs!$B$108/Inputs!$B$95,(2065-Inputs!$B$9)=2035,Inputs!$B$109/Inputs!$B$96,(2065-Inputs!$B$9)=2036,Inputs!$B$110/Inputs!$B$97,(2065-Inputs!$B$9)=2037,Inputs!$B$111/Inputs!$B$98,(2065-Inputs!$B$9)=2038,Inputs!$B$112/Inputs!$B$99,(2065-Inputs!$B$9)=2039,Inputs!$B$113/Inputs!$B$100,(2065-Inputs!$B$9)=2040,Inputs!$B$114/Inputs!$B$101)))</f>
        <v>0.432371486587582</v>
      </c>
      <c r="AR18" s="50" t="n">
        <f aca="false">IF((2066-Inputs!$B$9)&lt;2028,0,IF((2066-Inputs!$B$9)&gt;2040,Inputs!$B$114/Inputs!$B$101,_xlfn.IFS((2066-Inputs!$B$9)=2028,Inputs!$B$102/Inputs!$B$89,(2066-Inputs!$B$9)=2029,Inputs!$B$103/Inputs!$B$90,(2066-Inputs!$B$9)=2030,Inputs!$B$104/Inputs!$B$91,(2066-Inputs!$B$9)=2031,Inputs!$B$105/Inputs!$B$92,(2066-Inputs!$B$9)=2032,Inputs!$B$106/Inputs!$B$93,(2066-Inputs!$B$9)=2033,Inputs!$B$107/Inputs!$B$94,(2066-Inputs!$B$9)=2034,Inputs!$B$108/Inputs!$B$95,(2066-Inputs!$B$9)=2035,Inputs!$B$109/Inputs!$B$96,(2066-Inputs!$B$9)=2036,Inputs!$B$110/Inputs!$B$97,(2066-Inputs!$B$9)=2037,Inputs!$B$111/Inputs!$B$98,(2066-Inputs!$B$9)=2038,Inputs!$B$112/Inputs!$B$99,(2066-Inputs!$B$9)=2039,Inputs!$B$113/Inputs!$B$100,(2066-Inputs!$B$9)=2040,Inputs!$B$114/Inputs!$B$101)))</f>
        <v>0.432371486587582</v>
      </c>
      <c r="AS18" s="50" t="n">
        <f aca="false">IF((2067-Inputs!$B$9)&lt;2028,0,IF((2067-Inputs!$B$9)&gt;2040,Inputs!$B$114/Inputs!$B$101,_xlfn.IFS((2067-Inputs!$B$9)=2028,Inputs!$B$102/Inputs!$B$89,(2067-Inputs!$B$9)=2029,Inputs!$B$103/Inputs!$B$90,(2067-Inputs!$B$9)=2030,Inputs!$B$104/Inputs!$B$91,(2067-Inputs!$B$9)=2031,Inputs!$B$105/Inputs!$B$92,(2067-Inputs!$B$9)=2032,Inputs!$B$106/Inputs!$B$93,(2067-Inputs!$B$9)=2033,Inputs!$B$107/Inputs!$B$94,(2067-Inputs!$B$9)=2034,Inputs!$B$108/Inputs!$B$95,(2067-Inputs!$B$9)=2035,Inputs!$B$109/Inputs!$B$96,(2067-Inputs!$B$9)=2036,Inputs!$B$110/Inputs!$B$97,(2067-Inputs!$B$9)=2037,Inputs!$B$111/Inputs!$B$98,(2067-Inputs!$B$9)=2038,Inputs!$B$112/Inputs!$B$99,(2067-Inputs!$B$9)=2039,Inputs!$B$113/Inputs!$B$100,(2067-Inputs!$B$9)=2040,Inputs!$B$114/Inputs!$B$101)))</f>
        <v>0.432371486587582</v>
      </c>
      <c r="AT18" s="50" t="n">
        <f aca="false">IF((2068-Inputs!$B$9)&lt;2028,0,IF((2068-Inputs!$B$9)&gt;2040,Inputs!$B$114/Inputs!$B$101,_xlfn.IFS((2068-Inputs!$B$9)=2028,Inputs!$B$102/Inputs!$B$89,(2068-Inputs!$B$9)=2029,Inputs!$B$103/Inputs!$B$90,(2068-Inputs!$B$9)=2030,Inputs!$B$104/Inputs!$B$91,(2068-Inputs!$B$9)=2031,Inputs!$B$105/Inputs!$B$92,(2068-Inputs!$B$9)=2032,Inputs!$B$106/Inputs!$B$93,(2068-Inputs!$B$9)=2033,Inputs!$B$107/Inputs!$B$94,(2068-Inputs!$B$9)=2034,Inputs!$B$108/Inputs!$B$95,(2068-Inputs!$B$9)=2035,Inputs!$B$109/Inputs!$B$96,(2068-Inputs!$B$9)=2036,Inputs!$B$110/Inputs!$B$97,(2068-Inputs!$B$9)=2037,Inputs!$B$111/Inputs!$B$98,(2068-Inputs!$B$9)=2038,Inputs!$B$112/Inputs!$B$99,(2068-Inputs!$B$9)=2039,Inputs!$B$113/Inputs!$B$100,(2068-Inputs!$B$9)=2040,Inputs!$B$114/Inputs!$B$101)))</f>
        <v>0.432371486587582</v>
      </c>
      <c r="AU18" s="50" t="n">
        <f aca="false">IF((2069-Inputs!$B$9)&lt;2028,0,IF((2069-Inputs!$B$9)&gt;2040,Inputs!$B$114/Inputs!$B$101,_xlfn.IFS((2069-Inputs!$B$9)=2028,Inputs!$B$102/Inputs!$B$89,(2069-Inputs!$B$9)=2029,Inputs!$B$103/Inputs!$B$90,(2069-Inputs!$B$9)=2030,Inputs!$B$104/Inputs!$B$91,(2069-Inputs!$B$9)=2031,Inputs!$B$105/Inputs!$B$92,(2069-Inputs!$B$9)=2032,Inputs!$B$106/Inputs!$B$93,(2069-Inputs!$B$9)=2033,Inputs!$B$107/Inputs!$B$94,(2069-Inputs!$B$9)=2034,Inputs!$B$108/Inputs!$B$95,(2069-Inputs!$B$9)=2035,Inputs!$B$109/Inputs!$B$96,(2069-Inputs!$B$9)=2036,Inputs!$B$110/Inputs!$B$97,(2069-Inputs!$B$9)=2037,Inputs!$B$111/Inputs!$B$98,(2069-Inputs!$B$9)=2038,Inputs!$B$112/Inputs!$B$99,(2069-Inputs!$B$9)=2039,Inputs!$B$113/Inputs!$B$100,(2069-Inputs!$B$9)=2040,Inputs!$B$114/Inputs!$B$101)))</f>
        <v>0.432371486587582</v>
      </c>
      <c r="AV18" s="50" t="n">
        <f aca="false">IF((2070-Inputs!$B$9)&lt;2028,0,IF((2070-Inputs!$B$9)&gt;2040,Inputs!$B$114/Inputs!$B$101,_xlfn.IFS((2070-Inputs!$B$9)=2028,Inputs!$B$102/Inputs!$B$89,(2070-Inputs!$B$9)=2029,Inputs!$B$103/Inputs!$B$90,(2070-Inputs!$B$9)=2030,Inputs!$B$104/Inputs!$B$91,(2070-Inputs!$B$9)=2031,Inputs!$B$105/Inputs!$B$92,(2070-Inputs!$B$9)=2032,Inputs!$B$106/Inputs!$B$93,(2070-Inputs!$B$9)=2033,Inputs!$B$107/Inputs!$B$94,(2070-Inputs!$B$9)=2034,Inputs!$B$108/Inputs!$B$95,(2070-Inputs!$B$9)=2035,Inputs!$B$109/Inputs!$B$96,(2070-Inputs!$B$9)=2036,Inputs!$B$110/Inputs!$B$97,(2070-Inputs!$B$9)=2037,Inputs!$B$111/Inputs!$B$98,(2070-Inputs!$B$9)=2038,Inputs!$B$112/Inputs!$B$99,(2070-Inputs!$B$9)=2039,Inputs!$B$113/Inputs!$B$100,(2070-Inputs!$B$9)=2040,Inputs!$B$114/Inputs!$B$101)))</f>
        <v>0.432371486587582</v>
      </c>
      <c r="AW18" s="50" t="n">
        <f aca="false">IF((2071-Inputs!$B$9)&lt;2028,0,IF((2071-Inputs!$B$9)&gt;2040,Inputs!$B$114/Inputs!$B$101,_xlfn.IFS((2071-Inputs!$B$9)=2028,Inputs!$B$102/Inputs!$B$89,(2071-Inputs!$B$9)=2029,Inputs!$B$103/Inputs!$B$90,(2071-Inputs!$B$9)=2030,Inputs!$B$104/Inputs!$B$91,(2071-Inputs!$B$9)=2031,Inputs!$B$105/Inputs!$B$92,(2071-Inputs!$B$9)=2032,Inputs!$B$106/Inputs!$B$93,(2071-Inputs!$B$9)=2033,Inputs!$B$107/Inputs!$B$94,(2071-Inputs!$B$9)=2034,Inputs!$B$108/Inputs!$B$95,(2071-Inputs!$B$9)=2035,Inputs!$B$109/Inputs!$B$96,(2071-Inputs!$B$9)=2036,Inputs!$B$110/Inputs!$B$97,(2071-Inputs!$B$9)=2037,Inputs!$B$111/Inputs!$B$98,(2071-Inputs!$B$9)=2038,Inputs!$B$112/Inputs!$B$99,(2071-Inputs!$B$9)=2039,Inputs!$B$113/Inputs!$B$100,(2071-Inputs!$B$9)=2040,Inputs!$B$114/Inputs!$B$101)))</f>
        <v>0.432371486587582</v>
      </c>
      <c r="AX18" s="50" t="n">
        <f aca="false">IF((2072-Inputs!$B$9)&lt;2028,0,IF((2072-Inputs!$B$9)&gt;2040,Inputs!$B$114/Inputs!$B$101,_xlfn.IFS((2072-Inputs!$B$9)=2028,Inputs!$B$102/Inputs!$B$89,(2072-Inputs!$B$9)=2029,Inputs!$B$103/Inputs!$B$90,(2072-Inputs!$B$9)=2030,Inputs!$B$104/Inputs!$B$91,(2072-Inputs!$B$9)=2031,Inputs!$B$105/Inputs!$B$92,(2072-Inputs!$B$9)=2032,Inputs!$B$106/Inputs!$B$93,(2072-Inputs!$B$9)=2033,Inputs!$B$107/Inputs!$B$94,(2072-Inputs!$B$9)=2034,Inputs!$B$108/Inputs!$B$95,(2072-Inputs!$B$9)=2035,Inputs!$B$109/Inputs!$B$96,(2072-Inputs!$B$9)=2036,Inputs!$B$110/Inputs!$B$97,(2072-Inputs!$B$9)=2037,Inputs!$B$111/Inputs!$B$98,(2072-Inputs!$B$9)=2038,Inputs!$B$112/Inputs!$B$99,(2072-Inputs!$B$9)=2039,Inputs!$B$113/Inputs!$B$100,(2072-Inputs!$B$9)=2040,Inputs!$B$114/Inputs!$B$101)))</f>
        <v>0.432371486587582</v>
      </c>
      <c r="AY18" s="50" t="n">
        <f aca="false">IF((2073-Inputs!$B$9)&lt;2028,0,IF((2073-Inputs!$B$9)&gt;2040,Inputs!$B$114/Inputs!$B$101,_xlfn.IFS((2073-Inputs!$B$9)=2028,Inputs!$B$102/Inputs!$B$89,(2073-Inputs!$B$9)=2029,Inputs!$B$103/Inputs!$B$90,(2073-Inputs!$B$9)=2030,Inputs!$B$104/Inputs!$B$91,(2073-Inputs!$B$9)=2031,Inputs!$B$105/Inputs!$B$92,(2073-Inputs!$B$9)=2032,Inputs!$B$106/Inputs!$B$93,(2073-Inputs!$B$9)=2033,Inputs!$B$107/Inputs!$B$94,(2073-Inputs!$B$9)=2034,Inputs!$B$108/Inputs!$B$95,(2073-Inputs!$B$9)=2035,Inputs!$B$109/Inputs!$B$96,(2073-Inputs!$B$9)=2036,Inputs!$B$110/Inputs!$B$97,(2073-Inputs!$B$9)=2037,Inputs!$B$111/Inputs!$B$98,(2073-Inputs!$B$9)=2038,Inputs!$B$112/Inputs!$B$99,(2073-Inputs!$B$9)=2039,Inputs!$B$113/Inputs!$B$100,(2073-Inputs!$B$9)=2040,Inputs!$B$114/Inputs!$B$101)))</f>
        <v>0.432371486587582</v>
      </c>
      <c r="AZ18" s="50" t="n">
        <f aca="false">IF((2074-Inputs!$B$9)&lt;2028,0,IF((2074-Inputs!$B$9)&gt;2040,Inputs!$B$114/Inputs!$B$101,_xlfn.IFS((2074-Inputs!$B$9)=2028,Inputs!$B$102/Inputs!$B$89,(2074-Inputs!$B$9)=2029,Inputs!$B$103/Inputs!$B$90,(2074-Inputs!$B$9)=2030,Inputs!$B$104/Inputs!$B$91,(2074-Inputs!$B$9)=2031,Inputs!$B$105/Inputs!$B$92,(2074-Inputs!$B$9)=2032,Inputs!$B$106/Inputs!$B$93,(2074-Inputs!$B$9)=2033,Inputs!$B$107/Inputs!$B$94,(2074-Inputs!$B$9)=2034,Inputs!$B$108/Inputs!$B$95,(2074-Inputs!$B$9)=2035,Inputs!$B$109/Inputs!$B$96,(2074-Inputs!$B$9)=2036,Inputs!$B$110/Inputs!$B$97,(2074-Inputs!$B$9)=2037,Inputs!$B$111/Inputs!$B$98,(2074-Inputs!$B$9)=2038,Inputs!$B$112/Inputs!$B$99,(2074-Inputs!$B$9)=2039,Inputs!$B$113/Inputs!$B$100,(2074-Inputs!$B$9)=2040,Inputs!$B$114/Inputs!$B$101)))</f>
        <v>0.432371486587582</v>
      </c>
    </row>
    <row r="19" customFormat="false" ht="15" hidden="false" customHeight="true" outlineLevel="0" collapsed="false">
      <c r="A19" s="13" t="s">
        <v>412</v>
      </c>
      <c r="B19" s="2"/>
      <c r="C19" s="2"/>
      <c r="D19" s="41" t="n">
        <f aca="false">IF(Inputs!$B$88=2,D17,D16)</f>
        <v>0</v>
      </c>
      <c r="E19" s="41" t="n">
        <f aca="false">IF(Inputs!$B$88=2,E17,E16)</f>
        <v>0</v>
      </c>
      <c r="F19" s="41" t="n">
        <f aca="false">IF(Inputs!$B$88=2,F17,F16)</f>
        <v>104.328</v>
      </c>
      <c r="G19" s="41" t="n">
        <f aca="false">IF(Inputs!$B$88=2,G17,G16)</f>
        <v>110.519</v>
      </c>
      <c r="H19" s="41" t="n">
        <f aca="false">IF(Inputs!$B$88=2,H17,H16)</f>
        <v>115.216</v>
      </c>
      <c r="I19" s="41" t="n">
        <f aca="false">IF(Inputs!$B$88=2,I17,I16)</f>
        <v>119.075</v>
      </c>
      <c r="J19" s="41" t="n">
        <f aca="false">IF(Inputs!$B$88=2,J17,J16)</f>
        <v>125.825</v>
      </c>
      <c r="K19" s="41" t="n">
        <f aca="false">IF(Inputs!$B$88=2,K17,K16)</f>
        <v>132.794</v>
      </c>
      <c r="L19" s="41" t="n">
        <f aca="false">IF(Inputs!$B$88=2,L17,L16)</f>
        <v>140.706</v>
      </c>
      <c r="M19" s="41" t="n">
        <f aca="false">IF(Inputs!$B$88=2,M17,M16)</f>
        <v>149.264</v>
      </c>
      <c r="N19" s="41" t="n">
        <f aca="false">IF(Inputs!$B$88=2,N17,N16)</f>
        <v>156.54</v>
      </c>
      <c r="O19" s="41" t="n">
        <f aca="false">IF(Inputs!$B$88=2,O17,O16)</f>
        <v>163.825</v>
      </c>
      <c r="P19" s="41" t="n">
        <f aca="false">IF(Inputs!$B$88=2,P17,P16)</f>
        <v>171.073</v>
      </c>
      <c r="Q19" s="41" t="n">
        <f aca="false">IF(Inputs!$B$88=2,Q17,Q16)</f>
        <v>178.88</v>
      </c>
      <c r="R19" s="41" t="n">
        <f aca="false">IF(Inputs!$B$88=2,R17,R16)</f>
        <v>187.14</v>
      </c>
      <c r="S19" s="41" t="n">
        <f aca="false">IF(Inputs!$B$88=2,S17,S16)</f>
        <v>191.8185</v>
      </c>
      <c r="T19" s="41" t="n">
        <f aca="false">IF(Inputs!$B$88=2,T17,T16)</f>
        <v>196.6139625</v>
      </c>
      <c r="U19" s="41" t="n">
        <f aca="false">IF(Inputs!$B$88=2,U17,U16)</f>
        <v>201.5293115625</v>
      </c>
      <c r="V19" s="41" t="n">
        <f aca="false">IF(Inputs!$B$88=2,V17,V16)</f>
        <v>206.567544351562</v>
      </c>
      <c r="W19" s="41" t="n">
        <f aca="false">IF(Inputs!$B$88=2,W17,W16)</f>
        <v>211.731732960351</v>
      </c>
      <c r="X19" s="41" t="n">
        <f aca="false">IF(Inputs!$B$88=2,X17,X16)</f>
        <v>217.02502628436</v>
      </c>
      <c r="Y19" s="41" t="n">
        <f aca="false">IF(Inputs!$B$88=2,Y17,Y16)</f>
        <v>222.450651941469</v>
      </c>
      <c r="Z19" s="41" t="n">
        <f aca="false">IF(Inputs!$B$88=2,Z17,Z16)</f>
        <v>228.011918240006</v>
      </c>
      <c r="AA19" s="41" t="n">
        <f aca="false">IF(Inputs!$B$88=2,AA17,AA16)</f>
        <v>233.712216196006</v>
      </c>
      <c r="AB19" s="41" t="n">
        <f aca="false">IF(Inputs!$B$88=2,AB17,AB16)</f>
        <v>239.555021600906</v>
      </c>
      <c r="AC19" s="41" t="n">
        <f aca="false">IF(Inputs!$B$88=2,AC17,AC16)</f>
        <v>245.543897140929</v>
      </c>
      <c r="AD19" s="41" t="n">
        <f aca="false">IF(Inputs!$B$88=2,AD17,AD16)</f>
        <v>251.682494569452</v>
      </c>
      <c r="AE19" s="41" t="n">
        <f aca="false">IF(Inputs!$B$88=2,AE17,AE16)</f>
        <v>257.974556933688</v>
      </c>
      <c r="AF19" s="41" t="n">
        <f aca="false">IF(Inputs!$B$88=2,AF17,AF16)</f>
        <v>264.423920857031</v>
      </c>
      <c r="AG19" s="41" t="n">
        <f aca="false">IF(Inputs!$B$88=2,AG17,AG16)</f>
        <v>271.034518878456</v>
      </c>
      <c r="AH19" s="41" t="n">
        <f aca="false">IF(Inputs!$B$88=2,AH17,AH16)</f>
        <v>277.810381850418</v>
      </c>
      <c r="AI19" s="41" t="n">
        <f aca="false">IF(Inputs!$B$88=2,AI17,AI16)</f>
        <v>284.755641396678</v>
      </c>
      <c r="AJ19" s="41" t="n">
        <f aca="false">IF(Inputs!$B$88=2,AJ17,AJ16)</f>
        <v>291.874532431595</v>
      </c>
      <c r="AK19" s="41" t="n">
        <f aca="false">IF(Inputs!$B$88=2,AK17,AK16)</f>
        <v>299.171395742385</v>
      </c>
      <c r="AL19" s="41" t="n">
        <f aca="false">IF(Inputs!$B$88=2,AL17,AL16)</f>
        <v>306.650680635944</v>
      </c>
      <c r="AM19" s="41" t="n">
        <f aca="false">IF(Inputs!$B$88=2,AM17,AM16)</f>
        <v>314.316947651843</v>
      </c>
      <c r="AN19" s="41" t="n">
        <f aca="false">IF(Inputs!$B$88=2,AN17,AN16)</f>
        <v>322.174871343139</v>
      </c>
      <c r="AO19" s="41" t="n">
        <f aca="false">IF(Inputs!$B$88=2,AO17,AO16)</f>
        <v>330.229243126717</v>
      </c>
      <c r="AP19" s="41" t="n">
        <f aca="false">IF(Inputs!$B$88=2,AP17,AP16)</f>
        <v>338.484974204885</v>
      </c>
      <c r="AQ19" s="41" t="n">
        <f aca="false">IF(Inputs!$B$88=2,AQ17,AQ16)</f>
        <v>346.947098560008</v>
      </c>
      <c r="AR19" s="41" t="n">
        <f aca="false">IF(Inputs!$B$88=2,AR17,AR16)</f>
        <v>355.620776024008</v>
      </c>
      <c r="AS19" s="41" t="n">
        <f aca="false">IF(Inputs!$B$88=2,AS17,AS16)</f>
        <v>364.511295424608</v>
      </c>
      <c r="AT19" s="41" t="n">
        <f aca="false">IF(Inputs!$B$88=2,AT17,AT16)</f>
        <v>373.624077810223</v>
      </c>
      <c r="AU19" s="41" t="n">
        <f aca="false">IF(Inputs!$B$88=2,AU17,AU16)</f>
        <v>382.964679755478</v>
      </c>
      <c r="AV19" s="41" t="n">
        <f aca="false">IF(Inputs!$B$88=2,AV17,AV16)</f>
        <v>392.538796749365</v>
      </c>
      <c r="AW19" s="41" t="n">
        <f aca="false">IF(Inputs!$B$88=2,AW17,AW16)</f>
        <v>402.3522666681</v>
      </c>
      <c r="AX19" s="41" t="n">
        <f aca="false">IF(Inputs!$B$88=2,AX17,AX16)</f>
        <v>412.411073334802</v>
      </c>
      <c r="AY19" s="41" t="n">
        <f aca="false">IF(Inputs!$B$88=2,AY17,AY16)</f>
        <v>422.721350168172</v>
      </c>
      <c r="AZ19" s="41" t="n">
        <f aca="false">IF(Inputs!$B$88=2,AZ17,AZ16)</f>
        <v>433.289383922376</v>
      </c>
    </row>
    <row r="20" customFormat="false" ht="15" hidden="false" customHeight="true" outlineLevel="0" collapsed="false">
      <c r="A20" s="13" t="s">
        <v>413</v>
      </c>
      <c r="B20" s="2"/>
      <c r="C20" s="2"/>
      <c r="D20" s="49" t="n">
        <f aca="false">IF((2026-Inputs!$B$51-Inputs!$B$9)&lt;0,0,IF((2026-Inputs!$B$51-Inputs!$B$9)=0,Inputs!$B$52,1))</f>
        <v>0</v>
      </c>
      <c r="E20" s="49" t="n">
        <f aca="false">IF((2027-Inputs!$B$51-Inputs!$B$9)&lt;0,0,IF((2027-Inputs!$B$51-Inputs!$B$9)=0,Inputs!$B$52,1))</f>
        <v>0</v>
      </c>
      <c r="F20" s="49" t="n">
        <f aca="false">IF((2028-Inputs!$B$51-Inputs!$B$9)&lt;0,0,IF((2028-Inputs!$B$51-Inputs!$B$9)=0,Inputs!$B$52,1))</f>
        <v>0.25</v>
      </c>
      <c r="G20" s="49" t="n">
        <f aca="false">IF((2029-Inputs!$B$51-Inputs!$B$9)&lt;0,0,IF((2029-Inputs!$B$51-Inputs!$B$9)=0,Inputs!$B$52,1))</f>
        <v>1</v>
      </c>
      <c r="H20" s="49" t="n">
        <f aca="false">IF((2030-Inputs!$B$51-Inputs!$B$9)&lt;0,0,IF((2030-Inputs!$B$51-Inputs!$B$9)=0,Inputs!$B$52,1))</f>
        <v>1</v>
      </c>
      <c r="I20" s="49" t="n">
        <f aca="false">IF((2031-Inputs!$B$51-Inputs!$B$9)&lt;0,0,IF((2031-Inputs!$B$51-Inputs!$B$9)=0,Inputs!$B$52,1))</f>
        <v>1</v>
      </c>
      <c r="J20" s="49" t="n">
        <f aca="false">IF((2032-Inputs!$B$51-Inputs!$B$9)&lt;0,0,IF((2032-Inputs!$B$51-Inputs!$B$9)=0,Inputs!$B$52,1))</f>
        <v>1</v>
      </c>
      <c r="K20" s="49" t="n">
        <f aca="false">IF((2033-Inputs!$B$51-Inputs!$B$9)&lt;0,0,IF((2033-Inputs!$B$51-Inputs!$B$9)=0,Inputs!$B$52,1))</f>
        <v>1</v>
      </c>
      <c r="L20" s="49" t="n">
        <f aca="false">IF((2034-Inputs!$B$51-Inputs!$B$9)&lt;0,0,IF((2034-Inputs!$B$51-Inputs!$B$9)=0,Inputs!$B$52,1))</f>
        <v>1</v>
      </c>
      <c r="M20" s="49" t="n">
        <f aca="false">IF((2035-Inputs!$B$51-Inputs!$B$9)&lt;0,0,IF((2035-Inputs!$B$51-Inputs!$B$9)=0,Inputs!$B$52,1))</f>
        <v>1</v>
      </c>
      <c r="N20" s="49" t="n">
        <f aca="false">IF((2036-Inputs!$B$51-Inputs!$B$9)&lt;0,0,IF((2036-Inputs!$B$51-Inputs!$B$9)=0,Inputs!$B$52,1))</f>
        <v>1</v>
      </c>
      <c r="O20" s="49" t="n">
        <f aca="false">IF((2037-Inputs!$B$51-Inputs!$B$9)&lt;0,0,IF((2037-Inputs!$B$51-Inputs!$B$9)=0,Inputs!$B$52,1))</f>
        <v>1</v>
      </c>
      <c r="P20" s="49" t="n">
        <f aca="false">IF((2038-Inputs!$B$51-Inputs!$B$9)&lt;0,0,IF((2038-Inputs!$B$51-Inputs!$B$9)=0,Inputs!$B$52,1))</f>
        <v>1</v>
      </c>
      <c r="Q20" s="49" t="n">
        <f aca="false">IF((2039-Inputs!$B$51-Inputs!$B$9)&lt;0,0,IF((2039-Inputs!$B$51-Inputs!$B$9)=0,Inputs!$B$52,1))</f>
        <v>1</v>
      </c>
      <c r="R20" s="49" t="n">
        <f aca="false">IF((2040-Inputs!$B$51-Inputs!$B$9)&lt;0,0,IF((2040-Inputs!$B$51-Inputs!$B$9)=0,Inputs!$B$52,1))</f>
        <v>1</v>
      </c>
      <c r="S20" s="49" t="n">
        <f aca="false">IF((2041-Inputs!$B$51-Inputs!$B$9)&lt;0,0,IF((2041-Inputs!$B$51-Inputs!$B$9)=0,Inputs!$B$52,1))</f>
        <v>1</v>
      </c>
      <c r="T20" s="49" t="n">
        <f aca="false">IF((2042-Inputs!$B$51-Inputs!$B$9)&lt;0,0,IF((2042-Inputs!$B$51-Inputs!$B$9)=0,Inputs!$B$52,1))</f>
        <v>1</v>
      </c>
      <c r="U20" s="49" t="n">
        <f aca="false">IF((2043-Inputs!$B$51-Inputs!$B$9)&lt;0,0,IF((2043-Inputs!$B$51-Inputs!$B$9)=0,Inputs!$B$52,1))</f>
        <v>1</v>
      </c>
      <c r="V20" s="49" t="n">
        <f aca="false">IF((2044-Inputs!$B$51-Inputs!$B$9)&lt;0,0,IF((2044-Inputs!$B$51-Inputs!$B$9)=0,Inputs!$B$52,1))</f>
        <v>1</v>
      </c>
      <c r="W20" s="49" t="n">
        <f aca="false">IF((2045-Inputs!$B$51-Inputs!$B$9)&lt;0,0,IF((2045-Inputs!$B$51-Inputs!$B$9)=0,Inputs!$B$52,1))</f>
        <v>1</v>
      </c>
      <c r="X20" s="49" t="n">
        <f aca="false">IF((2046-Inputs!$B$51-Inputs!$B$9)&lt;0,0,IF((2046-Inputs!$B$51-Inputs!$B$9)=0,Inputs!$B$52,1))</f>
        <v>1</v>
      </c>
      <c r="Y20" s="49" t="n">
        <f aca="false">IF((2047-Inputs!$B$51-Inputs!$B$9)&lt;0,0,IF((2047-Inputs!$B$51-Inputs!$B$9)=0,Inputs!$B$52,1))</f>
        <v>1</v>
      </c>
      <c r="Z20" s="49" t="n">
        <f aca="false">IF((2048-Inputs!$B$51-Inputs!$B$9)&lt;0,0,IF((2048-Inputs!$B$51-Inputs!$B$9)=0,Inputs!$B$52,1))</f>
        <v>1</v>
      </c>
      <c r="AA20" s="49" t="n">
        <f aca="false">IF((2049-Inputs!$B$51-Inputs!$B$9)&lt;0,0,IF((2049-Inputs!$B$51-Inputs!$B$9)=0,Inputs!$B$52,1))</f>
        <v>1</v>
      </c>
      <c r="AB20" s="49" t="n">
        <f aca="false">IF((2050-Inputs!$B$51-Inputs!$B$9)&lt;0,0,IF((2050-Inputs!$B$51-Inputs!$B$9)=0,Inputs!$B$52,1))</f>
        <v>1</v>
      </c>
      <c r="AC20" s="49" t="n">
        <f aca="false">IF((2051-Inputs!$B$51-Inputs!$B$9)&lt;0,0,IF((2051-Inputs!$B$51-Inputs!$B$9)=0,Inputs!$B$52,1))</f>
        <v>1</v>
      </c>
      <c r="AD20" s="49" t="n">
        <f aca="false">IF((2052-Inputs!$B$51-Inputs!$B$9)&lt;0,0,IF((2052-Inputs!$B$51-Inputs!$B$9)=0,Inputs!$B$52,1))</f>
        <v>1</v>
      </c>
      <c r="AE20" s="49" t="n">
        <f aca="false">IF((2053-Inputs!$B$51-Inputs!$B$9)&lt;0,0,IF((2053-Inputs!$B$51-Inputs!$B$9)=0,Inputs!$B$52,1))</f>
        <v>1</v>
      </c>
      <c r="AF20" s="49" t="n">
        <f aca="false">IF((2054-Inputs!$B$51-Inputs!$B$9)&lt;0,0,IF((2054-Inputs!$B$51-Inputs!$B$9)=0,Inputs!$B$52,1))</f>
        <v>1</v>
      </c>
      <c r="AG20" s="49" t="n">
        <f aca="false">IF((2055-Inputs!$B$51-Inputs!$B$9)&lt;0,0,IF((2055-Inputs!$B$51-Inputs!$B$9)=0,Inputs!$B$52,1))</f>
        <v>1</v>
      </c>
      <c r="AH20" s="49" t="n">
        <f aca="false">IF((2056-Inputs!$B$51-Inputs!$B$9)&lt;0,0,IF((2056-Inputs!$B$51-Inputs!$B$9)=0,Inputs!$B$52,1))</f>
        <v>1</v>
      </c>
      <c r="AI20" s="49" t="n">
        <f aca="false">IF((2057-Inputs!$B$51-Inputs!$B$9)&lt;0,0,IF((2057-Inputs!$B$51-Inputs!$B$9)=0,Inputs!$B$52,1))</f>
        <v>1</v>
      </c>
      <c r="AJ20" s="49" t="n">
        <f aca="false">IF((2058-Inputs!$B$51-Inputs!$B$9)&lt;0,0,IF((2058-Inputs!$B$51-Inputs!$B$9)=0,Inputs!$B$52,1))</f>
        <v>1</v>
      </c>
      <c r="AK20" s="49" t="n">
        <f aca="false">IF((2059-Inputs!$B$51-Inputs!$B$9)&lt;0,0,IF((2059-Inputs!$B$51-Inputs!$B$9)=0,Inputs!$B$52,1))</f>
        <v>1</v>
      </c>
      <c r="AL20" s="49" t="n">
        <f aca="false">IF((2060-Inputs!$B$51-Inputs!$B$9)&lt;0,0,IF((2060-Inputs!$B$51-Inputs!$B$9)=0,Inputs!$B$52,1))</f>
        <v>1</v>
      </c>
      <c r="AM20" s="49" t="n">
        <f aca="false">IF((2061-Inputs!$B$51-Inputs!$B$9)&lt;0,0,IF((2061-Inputs!$B$51-Inputs!$B$9)=0,Inputs!$B$52,1))</f>
        <v>1</v>
      </c>
      <c r="AN20" s="49" t="n">
        <f aca="false">IF((2062-Inputs!$B$51-Inputs!$B$9)&lt;0,0,IF((2062-Inputs!$B$51-Inputs!$B$9)=0,Inputs!$B$52,1))</f>
        <v>1</v>
      </c>
      <c r="AO20" s="49" t="n">
        <f aca="false">IF((2063-Inputs!$B$51-Inputs!$B$9)&lt;0,0,IF((2063-Inputs!$B$51-Inputs!$B$9)=0,Inputs!$B$52,1))</f>
        <v>1</v>
      </c>
      <c r="AP20" s="49" t="n">
        <f aca="false">IF((2064-Inputs!$B$51-Inputs!$B$9)&lt;0,0,IF((2064-Inputs!$B$51-Inputs!$B$9)=0,Inputs!$B$52,1))</f>
        <v>1</v>
      </c>
      <c r="AQ20" s="49" t="n">
        <f aca="false">IF((2065-Inputs!$B$51-Inputs!$B$9)&lt;0,0,IF((2065-Inputs!$B$51-Inputs!$B$9)=0,Inputs!$B$52,1))</f>
        <v>1</v>
      </c>
      <c r="AR20" s="49" t="n">
        <f aca="false">IF((2066-Inputs!$B$51-Inputs!$B$9)&lt;0,0,IF((2066-Inputs!$B$51-Inputs!$B$9)=0,Inputs!$B$52,1))</f>
        <v>1</v>
      </c>
      <c r="AS20" s="49" t="n">
        <f aca="false">IF((2067-Inputs!$B$51-Inputs!$B$9)&lt;0,0,IF((2067-Inputs!$B$51-Inputs!$B$9)=0,Inputs!$B$52,1))</f>
        <v>1</v>
      </c>
      <c r="AT20" s="49" t="n">
        <f aca="false">IF((2068-Inputs!$B$51-Inputs!$B$9)&lt;0,0,IF((2068-Inputs!$B$51-Inputs!$B$9)=0,Inputs!$B$52,1))</f>
        <v>1</v>
      </c>
      <c r="AU20" s="49" t="n">
        <f aca="false">IF((2069-Inputs!$B$51-Inputs!$B$9)&lt;0,0,IF((2069-Inputs!$B$51-Inputs!$B$9)=0,Inputs!$B$52,1))</f>
        <v>1</v>
      </c>
      <c r="AV20" s="49" t="n">
        <f aca="false">IF((2070-Inputs!$B$51-Inputs!$B$9)&lt;0,0,IF((2070-Inputs!$B$51-Inputs!$B$9)=0,Inputs!$B$52,1))</f>
        <v>1</v>
      </c>
      <c r="AW20" s="49" t="n">
        <f aca="false">IF((2071-Inputs!$B$51-Inputs!$B$9)&lt;0,0,IF((2071-Inputs!$B$51-Inputs!$B$9)=0,Inputs!$B$52,1))</f>
        <v>1</v>
      </c>
      <c r="AX20" s="49" t="n">
        <f aca="false">IF((2072-Inputs!$B$51-Inputs!$B$9)&lt;0,0,IF((2072-Inputs!$B$51-Inputs!$B$9)=0,Inputs!$B$52,1))</f>
        <v>1</v>
      </c>
      <c r="AY20" s="49" t="n">
        <f aca="false">IF((2073-Inputs!$B$51-Inputs!$B$9)&lt;0,0,IF((2073-Inputs!$B$51-Inputs!$B$9)=0,Inputs!$B$52,1))</f>
        <v>1</v>
      </c>
      <c r="AZ20" s="49" t="n">
        <f aca="false">IF((2074-Inputs!$B$51-Inputs!$B$9)&lt;0,0,IF((2074-Inputs!$B$51-Inputs!$B$9)=0,Inputs!$B$52,1))</f>
        <v>1</v>
      </c>
    </row>
    <row r="21" customFormat="false" ht="15" hidden="false" customHeight="true" outlineLevel="0" collapsed="false">
      <c r="A21" s="6" t="s">
        <v>414</v>
      </c>
      <c r="B21" s="2"/>
      <c r="C21" s="21" t="n">
        <f aca="false">SUM(D21:AZ21)</f>
        <v>11869.0637408175</v>
      </c>
      <c r="D21" s="21" t="n">
        <f aca="false">D19*D20*Inputs!$B$7</f>
        <v>0</v>
      </c>
      <c r="E21" s="21" t="n">
        <f aca="false">E19*E20*Inputs!$B$7</f>
        <v>0</v>
      </c>
      <c r="F21" s="21" t="n">
        <f aca="false">F19*F20*Inputs!$B$7</f>
        <v>26.082</v>
      </c>
      <c r="G21" s="21" t="n">
        <f aca="false">G19*G20*Inputs!$B$7</f>
        <v>110.519</v>
      </c>
      <c r="H21" s="21" t="n">
        <f aca="false">H19*H20*Inputs!$B$7</f>
        <v>115.216</v>
      </c>
      <c r="I21" s="21" t="n">
        <f aca="false">I19*I20*Inputs!$B$7</f>
        <v>119.075</v>
      </c>
      <c r="J21" s="21" t="n">
        <f aca="false">J19*J20*Inputs!$B$7</f>
        <v>125.825</v>
      </c>
      <c r="K21" s="21" t="n">
        <f aca="false">K19*K20*Inputs!$B$7</f>
        <v>132.794</v>
      </c>
      <c r="L21" s="21" t="n">
        <f aca="false">L19*L20*Inputs!$B$7</f>
        <v>140.706</v>
      </c>
      <c r="M21" s="21" t="n">
        <f aca="false">M19*M20*Inputs!$B$7</f>
        <v>149.264</v>
      </c>
      <c r="N21" s="21" t="n">
        <f aca="false">N19*N20*Inputs!$B$7</f>
        <v>156.54</v>
      </c>
      <c r="O21" s="21" t="n">
        <f aca="false">O19*O20*Inputs!$B$7</f>
        <v>163.825</v>
      </c>
      <c r="P21" s="21" t="n">
        <f aca="false">P19*P20*Inputs!$B$7</f>
        <v>171.073</v>
      </c>
      <c r="Q21" s="21" t="n">
        <f aca="false">Q19*Q20*Inputs!$B$7</f>
        <v>178.88</v>
      </c>
      <c r="R21" s="21" t="n">
        <f aca="false">R19*R20*Inputs!$B$7</f>
        <v>187.14</v>
      </c>
      <c r="S21" s="21" t="n">
        <f aca="false">S19*S20*Inputs!$B$7</f>
        <v>191.8185</v>
      </c>
      <c r="T21" s="21" t="n">
        <f aca="false">T19*T20*Inputs!$B$7</f>
        <v>196.6139625</v>
      </c>
      <c r="U21" s="21" t="n">
        <f aca="false">U19*U20*Inputs!$B$7</f>
        <v>201.5293115625</v>
      </c>
      <c r="V21" s="21" t="n">
        <f aca="false">V19*V20*Inputs!$B$7</f>
        <v>206.567544351562</v>
      </c>
      <c r="W21" s="21" t="n">
        <f aca="false">W19*W20*Inputs!$B$7</f>
        <v>211.731732960351</v>
      </c>
      <c r="X21" s="21" t="n">
        <f aca="false">X19*X20*Inputs!$B$7</f>
        <v>217.02502628436</v>
      </c>
      <c r="Y21" s="21" t="n">
        <f aca="false">Y19*Y20*Inputs!$B$7</f>
        <v>222.450651941469</v>
      </c>
      <c r="Z21" s="21" t="n">
        <f aca="false">Z19*Z20*Inputs!$B$7</f>
        <v>228.011918240006</v>
      </c>
      <c r="AA21" s="21" t="n">
        <f aca="false">AA19*AA20*Inputs!$B$7</f>
        <v>233.712216196006</v>
      </c>
      <c r="AB21" s="21" t="n">
        <f aca="false">AB19*AB20*Inputs!$B$7</f>
        <v>239.555021600906</v>
      </c>
      <c r="AC21" s="21" t="n">
        <f aca="false">AC19*AC20*Inputs!$B$7</f>
        <v>245.543897140929</v>
      </c>
      <c r="AD21" s="21" t="n">
        <f aca="false">AD19*AD20*Inputs!$B$7</f>
        <v>251.682494569452</v>
      </c>
      <c r="AE21" s="21" t="n">
        <f aca="false">AE19*AE20*Inputs!$B$7</f>
        <v>257.974556933688</v>
      </c>
      <c r="AF21" s="21" t="n">
        <f aca="false">AF19*AF20*Inputs!$B$7</f>
        <v>264.423920857031</v>
      </c>
      <c r="AG21" s="21" t="n">
        <f aca="false">AG19*AG20*Inputs!$B$7</f>
        <v>271.034518878456</v>
      </c>
      <c r="AH21" s="21" t="n">
        <f aca="false">AH19*AH20*Inputs!$B$7</f>
        <v>277.810381850418</v>
      </c>
      <c r="AI21" s="21" t="n">
        <f aca="false">AI19*AI20*Inputs!$B$7</f>
        <v>284.755641396678</v>
      </c>
      <c r="AJ21" s="21" t="n">
        <f aca="false">AJ19*AJ20*Inputs!$B$7</f>
        <v>291.874532431595</v>
      </c>
      <c r="AK21" s="21" t="n">
        <f aca="false">AK19*AK20*Inputs!$B$7</f>
        <v>299.171395742385</v>
      </c>
      <c r="AL21" s="21" t="n">
        <f aca="false">AL19*AL20*Inputs!$B$7</f>
        <v>306.650680635944</v>
      </c>
      <c r="AM21" s="21" t="n">
        <f aca="false">AM19*AM20*Inputs!$B$7</f>
        <v>314.316947651843</v>
      </c>
      <c r="AN21" s="21" t="n">
        <f aca="false">AN19*AN20*Inputs!$B$7</f>
        <v>322.174871343139</v>
      </c>
      <c r="AO21" s="21" t="n">
        <f aca="false">AO19*AO20*Inputs!$B$7</f>
        <v>330.229243126717</v>
      </c>
      <c r="AP21" s="21" t="n">
        <f aca="false">AP19*AP20*Inputs!$B$7</f>
        <v>338.484974204885</v>
      </c>
      <c r="AQ21" s="21" t="n">
        <f aca="false">AQ19*AQ20*Inputs!$B$7</f>
        <v>346.947098560008</v>
      </c>
      <c r="AR21" s="21" t="n">
        <f aca="false">AR19*AR20*Inputs!$B$7</f>
        <v>355.620776024008</v>
      </c>
      <c r="AS21" s="21" t="n">
        <f aca="false">AS19*AS20*Inputs!$B$7</f>
        <v>364.511295424608</v>
      </c>
      <c r="AT21" s="21" t="n">
        <f aca="false">AT19*AT20*Inputs!$B$7</f>
        <v>373.624077810223</v>
      </c>
      <c r="AU21" s="21" t="n">
        <f aca="false">AU19*AU20*Inputs!$B$7</f>
        <v>382.964679755478</v>
      </c>
      <c r="AV21" s="21" t="n">
        <f aca="false">AV19*AV20*Inputs!$B$7</f>
        <v>392.538796749365</v>
      </c>
      <c r="AW21" s="21" t="n">
        <f aca="false">AW19*AW20*Inputs!$B$7</f>
        <v>402.3522666681</v>
      </c>
      <c r="AX21" s="21" t="n">
        <f aca="false">AX19*AX20*Inputs!$B$7</f>
        <v>412.411073334802</v>
      </c>
      <c r="AY21" s="21" t="n">
        <f aca="false">AY19*AY20*Inputs!$B$7</f>
        <v>422.721350168172</v>
      </c>
      <c r="AZ21" s="21" t="n">
        <f aca="false">AZ19*AZ20*Inputs!$B$7</f>
        <v>433.289383922376</v>
      </c>
    </row>
    <row r="22" customFormat="false" ht="15" hidden="false" customHeight="true" outlineLevel="0" collapsed="false">
      <c r="A22" s="13" t="s">
        <v>415</v>
      </c>
      <c r="B22" s="2"/>
      <c r="C22" s="41" t="n">
        <f aca="false">SUM(D22:AZ22)</f>
        <v>5057.11697701456</v>
      </c>
      <c r="D22" s="41" t="n">
        <f aca="false">IF(Inputs!$B$88=2,D21*D18,D21*Inputs!$B$141)</f>
        <v>0</v>
      </c>
      <c r="E22" s="41" t="n">
        <f aca="false">IF(Inputs!$B$88=2,E21*E18,E21*Inputs!$B$141)</f>
        <v>0</v>
      </c>
      <c r="F22" s="41" t="n">
        <f aca="false">IF(Inputs!$B$88=2,F21*F18,F21*Inputs!$B$141)</f>
        <v>9.251</v>
      </c>
      <c r="G22" s="41" t="n">
        <f aca="false">IF(Inputs!$B$88=2,G21*G18,G21*Inputs!$B$141)</f>
        <v>36.978</v>
      </c>
      <c r="H22" s="41" t="n">
        <f aca="false">IF(Inputs!$B$88=2,H21*H18,H21*Inputs!$B$141)</f>
        <v>39.513</v>
      </c>
      <c r="I22" s="41" t="n">
        <f aca="false">IF(Inputs!$B$88=2,I21*I18,I21*Inputs!$B$141)</f>
        <v>41.366</v>
      </c>
      <c r="J22" s="41" t="n">
        <f aca="false">IF(Inputs!$B$88=2,J21*J18,J21*Inputs!$B$141)</f>
        <v>45.172</v>
      </c>
      <c r="K22" s="41" t="n">
        <f aca="false">IF(Inputs!$B$88=2,K21*K18,K21*Inputs!$B$141)</f>
        <v>49.209</v>
      </c>
      <c r="L22" s="41" t="n">
        <f aca="false">IF(Inputs!$B$88=2,L21*L18,L21*Inputs!$B$141)</f>
        <v>53.858</v>
      </c>
      <c r="M22" s="41" t="n">
        <f aca="false">IF(Inputs!$B$88=2,M21*M18,M21*Inputs!$B$141)</f>
        <v>58.961</v>
      </c>
      <c r="N22" s="41" t="n">
        <f aca="false">IF(Inputs!$B$88=2,N21*N18,N21*Inputs!$B$141)</f>
        <v>63.23</v>
      </c>
      <c r="O22" s="41" t="n">
        <f aca="false">IF(Inputs!$B$88=2,O21*O18,O21*Inputs!$B$141)</f>
        <v>67.43</v>
      </c>
      <c r="P22" s="41" t="n">
        <f aca="false">IF(Inputs!$B$88=2,P21*P18,P21*Inputs!$B$141)</f>
        <v>71.589</v>
      </c>
      <c r="Q22" s="41" t="n">
        <f aca="false">IF(Inputs!$B$88=2,Q21*Q18,Q21*Inputs!$B$141)</f>
        <v>76.099</v>
      </c>
      <c r="R22" s="41" t="n">
        <f aca="false">IF(Inputs!$B$88=2,R21*R18,R21*Inputs!$B$141)</f>
        <v>80.914</v>
      </c>
      <c r="S22" s="41" t="n">
        <f aca="false">IF(Inputs!$B$88=2,S21*S18,S21*Inputs!$B$141)</f>
        <v>82.93685</v>
      </c>
      <c r="T22" s="41" t="n">
        <f aca="false">IF(Inputs!$B$88=2,T21*T18,T21*Inputs!$B$141)</f>
        <v>85.01027125</v>
      </c>
      <c r="U22" s="41" t="n">
        <f aca="false">IF(Inputs!$B$88=2,U21*U18,U21*Inputs!$B$141)</f>
        <v>87.13552803125</v>
      </c>
      <c r="V22" s="41" t="n">
        <f aca="false">IF(Inputs!$B$88=2,V21*V18,V21*Inputs!$B$141)</f>
        <v>89.3139162320312</v>
      </c>
      <c r="W22" s="41" t="n">
        <f aca="false">IF(Inputs!$B$88=2,W21*W18,W21*Inputs!$B$141)</f>
        <v>91.546764137832</v>
      </c>
      <c r="X22" s="41" t="n">
        <f aca="false">IF(Inputs!$B$88=2,X21*X18,X21*Inputs!$B$141)</f>
        <v>93.8354332412778</v>
      </c>
      <c r="Y22" s="41" t="n">
        <f aca="false">IF(Inputs!$B$88=2,Y21*Y18,Y21*Inputs!$B$141)</f>
        <v>96.1813190723097</v>
      </c>
      <c r="Z22" s="41" t="n">
        <f aca="false">IF(Inputs!$B$88=2,Z21*Z18,Z21*Inputs!$B$141)</f>
        <v>98.5858520491175</v>
      </c>
      <c r="AA22" s="41" t="n">
        <f aca="false">IF(Inputs!$B$88=2,AA21*AA18,AA21*Inputs!$B$141)</f>
        <v>101.050498350345</v>
      </c>
      <c r="AB22" s="41" t="n">
        <f aca="false">IF(Inputs!$B$88=2,AB21*AB18,AB21*Inputs!$B$141)</f>
        <v>103.576760809104</v>
      </c>
      <c r="AC22" s="41" t="n">
        <f aca="false">IF(Inputs!$B$88=2,AC21*AC18,AC21*Inputs!$B$141)</f>
        <v>106.166179829332</v>
      </c>
      <c r="AD22" s="41" t="n">
        <f aca="false">IF(Inputs!$B$88=2,AD21*AD18,AD21*Inputs!$B$141)</f>
        <v>108.820334325065</v>
      </c>
      <c r="AE22" s="41" t="n">
        <f aca="false">IF(Inputs!$B$88=2,AE21*AE18,AE21*Inputs!$B$141)</f>
        <v>111.540842683191</v>
      </c>
      <c r="AF22" s="41" t="n">
        <f aca="false">IF(Inputs!$B$88=2,AF21*AF18,AF21*Inputs!$B$141)</f>
        <v>114.329363750271</v>
      </c>
      <c r="AG22" s="41" t="n">
        <f aca="false">IF(Inputs!$B$88=2,AG21*AG18,AG21*Inputs!$B$141)</f>
        <v>117.187597844028</v>
      </c>
      <c r="AH22" s="41" t="n">
        <f aca="false">IF(Inputs!$B$88=2,AH21*AH18,AH21*Inputs!$B$141)</f>
        <v>120.117287790129</v>
      </c>
      <c r="AI22" s="41" t="n">
        <f aca="false">IF(Inputs!$B$88=2,AI21*AI18,AI21*Inputs!$B$141)</f>
        <v>123.120219984882</v>
      </c>
      <c r="AJ22" s="41" t="n">
        <f aca="false">IF(Inputs!$B$88=2,AJ21*AJ18,AJ21*Inputs!$B$141)</f>
        <v>126.198225484504</v>
      </c>
      <c r="AK22" s="41" t="n">
        <f aca="false">IF(Inputs!$B$88=2,AK21*AK18,AK21*Inputs!$B$141)</f>
        <v>129.353181121617</v>
      </c>
      <c r="AL22" s="41" t="n">
        <f aca="false">IF(Inputs!$B$88=2,AL21*AL18,AL21*Inputs!$B$141)</f>
        <v>132.587010649657</v>
      </c>
      <c r="AM22" s="41" t="n">
        <f aca="false">IF(Inputs!$B$88=2,AM21*AM18,AM21*Inputs!$B$141)</f>
        <v>135.901685915898</v>
      </c>
      <c r="AN22" s="41" t="n">
        <f aca="false">IF(Inputs!$B$88=2,AN21*AN18,AN21*Inputs!$B$141)</f>
        <v>139.299228063796</v>
      </c>
      <c r="AO22" s="41" t="n">
        <f aca="false">IF(Inputs!$B$88=2,AO21*AO18,AO21*Inputs!$B$141)</f>
        <v>142.781708765391</v>
      </c>
      <c r="AP22" s="41" t="n">
        <f aca="false">IF(Inputs!$B$88=2,AP21*AP18,AP21*Inputs!$B$141)</f>
        <v>146.351251484525</v>
      </c>
      <c r="AQ22" s="41" t="n">
        <f aca="false">IF(Inputs!$B$88=2,AQ21*AQ18,AQ21*Inputs!$B$141)</f>
        <v>150.010032771639</v>
      </c>
      <c r="AR22" s="41" t="n">
        <f aca="false">IF(Inputs!$B$88=2,AR21*AR18,AR21*Inputs!$B$141)</f>
        <v>153.76028359093</v>
      </c>
      <c r="AS22" s="41" t="n">
        <f aca="false">IF(Inputs!$B$88=2,AS21*AS18,AS21*Inputs!$B$141)</f>
        <v>157.604290680703</v>
      </c>
      <c r="AT22" s="41" t="n">
        <f aca="false">IF(Inputs!$B$88=2,AT21*AT18,AT21*Inputs!$B$141)</f>
        <v>161.54439794772</v>
      </c>
      <c r="AU22" s="41" t="n">
        <f aca="false">IF(Inputs!$B$88=2,AU21*AU18,AU21*Inputs!$B$141)</f>
        <v>165.583007896413</v>
      </c>
      <c r="AV22" s="41" t="n">
        <f aca="false">IF(Inputs!$B$88=2,AV21*AV18,AV21*Inputs!$B$141)</f>
        <v>169.722583093824</v>
      </c>
      <c r="AW22" s="41" t="n">
        <f aca="false">IF(Inputs!$B$88=2,AW21*AW18,AW21*Inputs!$B$141)</f>
        <v>173.965647671169</v>
      </c>
      <c r="AX22" s="41" t="n">
        <f aca="false">IF(Inputs!$B$88=2,AX21*AX18,AX21*Inputs!$B$141)</f>
        <v>178.314788862948</v>
      </c>
      <c r="AY22" s="41" t="n">
        <f aca="false">IF(Inputs!$B$88=2,AY21*AY18,AY21*Inputs!$B$141)</f>
        <v>182.772658584522</v>
      </c>
      <c r="AZ22" s="41" t="n">
        <f aca="false">IF(Inputs!$B$88=2,AZ21*AZ18,AZ21*Inputs!$B$141)</f>
        <v>187.341975049135</v>
      </c>
    </row>
    <row r="23" customFormat="false" ht="15" hidden="false" customHeight="true" outlineLevel="0" collapsed="false">
      <c r="A23" s="13" t="s">
        <v>416</v>
      </c>
      <c r="B23" s="2"/>
      <c r="C23" s="41" t="n">
        <f aca="false">SUM(D23:AZ23)</f>
        <v>0</v>
      </c>
      <c r="D23" s="41" t="n">
        <f aca="false">IF(Inputs!$B$88=2,0,-(D21*Inputs!$B$142+D22*Inputs!$B$143))</f>
        <v>0</v>
      </c>
      <c r="E23" s="41" t="n">
        <f aca="false">IF(Inputs!$B$88=2,0,-(E21*Inputs!$B$142+E22*Inputs!$B$143))</f>
        <v>0</v>
      </c>
      <c r="F23" s="41" t="n">
        <f aca="false">IF(Inputs!$B$88=2,0,-(F21*Inputs!$B$142+F22*Inputs!$B$143))</f>
        <v>0</v>
      </c>
      <c r="G23" s="41" t="n">
        <f aca="false">IF(Inputs!$B$88=2,0,-(G21*Inputs!$B$142+G22*Inputs!$B$143))</f>
        <v>0</v>
      </c>
      <c r="H23" s="41" t="n">
        <f aca="false">IF(Inputs!$B$88=2,0,-(H21*Inputs!$B$142+H22*Inputs!$B$143))</f>
        <v>0</v>
      </c>
      <c r="I23" s="41" t="n">
        <f aca="false">IF(Inputs!$B$88=2,0,-(I21*Inputs!$B$142+I22*Inputs!$B$143))</f>
        <v>0</v>
      </c>
      <c r="J23" s="41" t="n">
        <f aca="false">IF(Inputs!$B$88=2,0,-(J21*Inputs!$B$142+J22*Inputs!$B$143))</f>
        <v>0</v>
      </c>
      <c r="K23" s="41" t="n">
        <f aca="false">IF(Inputs!$B$88=2,0,-(K21*Inputs!$B$142+K22*Inputs!$B$143))</f>
        <v>0</v>
      </c>
      <c r="L23" s="41" t="n">
        <f aca="false">IF(Inputs!$B$88=2,0,-(L21*Inputs!$B$142+L22*Inputs!$B$143))</f>
        <v>0</v>
      </c>
      <c r="M23" s="41" t="n">
        <f aca="false">IF(Inputs!$B$88=2,0,-(M21*Inputs!$B$142+M22*Inputs!$B$143))</f>
        <v>0</v>
      </c>
      <c r="N23" s="41" t="n">
        <f aca="false">IF(Inputs!$B$88=2,0,-(N21*Inputs!$B$142+N22*Inputs!$B$143))</f>
        <v>0</v>
      </c>
      <c r="O23" s="41" t="n">
        <f aca="false">IF(Inputs!$B$88=2,0,-(O21*Inputs!$B$142+O22*Inputs!$B$143))</f>
        <v>0</v>
      </c>
      <c r="P23" s="41" t="n">
        <f aca="false">IF(Inputs!$B$88=2,0,-(P21*Inputs!$B$142+P22*Inputs!$B$143))</f>
        <v>0</v>
      </c>
      <c r="Q23" s="41" t="n">
        <f aca="false">IF(Inputs!$B$88=2,0,-(Q21*Inputs!$B$142+Q22*Inputs!$B$143))</f>
        <v>0</v>
      </c>
      <c r="R23" s="41" t="n">
        <f aca="false">IF(Inputs!$B$88=2,0,-(R21*Inputs!$B$142+R22*Inputs!$B$143))</f>
        <v>0</v>
      </c>
      <c r="S23" s="41" t="n">
        <f aca="false">IF(Inputs!$B$88=2,0,-(S21*Inputs!$B$142+S22*Inputs!$B$143))</f>
        <v>0</v>
      </c>
      <c r="T23" s="41" t="n">
        <f aca="false">IF(Inputs!$B$88=2,0,-(T21*Inputs!$B$142+T22*Inputs!$B$143))</f>
        <v>0</v>
      </c>
      <c r="U23" s="41" t="n">
        <f aca="false">IF(Inputs!$B$88=2,0,-(U21*Inputs!$B$142+U22*Inputs!$B$143))</f>
        <v>0</v>
      </c>
      <c r="V23" s="41" t="n">
        <f aca="false">IF(Inputs!$B$88=2,0,-(V21*Inputs!$B$142+V22*Inputs!$B$143))</f>
        <v>0</v>
      </c>
      <c r="W23" s="41" t="n">
        <f aca="false">IF(Inputs!$B$88=2,0,-(W21*Inputs!$B$142+W22*Inputs!$B$143))</f>
        <v>0</v>
      </c>
      <c r="X23" s="41" t="n">
        <f aca="false">IF(Inputs!$B$88=2,0,-(X21*Inputs!$B$142+X22*Inputs!$B$143))</f>
        <v>0</v>
      </c>
      <c r="Y23" s="41" t="n">
        <f aca="false">IF(Inputs!$B$88=2,0,-(Y21*Inputs!$B$142+Y22*Inputs!$B$143))</f>
        <v>0</v>
      </c>
      <c r="Z23" s="41" t="n">
        <f aca="false">IF(Inputs!$B$88=2,0,-(Z21*Inputs!$B$142+Z22*Inputs!$B$143))</f>
        <v>0</v>
      </c>
      <c r="AA23" s="41" t="n">
        <f aca="false">IF(Inputs!$B$88=2,0,-(AA21*Inputs!$B$142+AA22*Inputs!$B$143))</f>
        <v>0</v>
      </c>
      <c r="AB23" s="41" t="n">
        <f aca="false">IF(Inputs!$B$88=2,0,-(AB21*Inputs!$B$142+AB22*Inputs!$B$143))</f>
        <v>0</v>
      </c>
      <c r="AC23" s="41" t="n">
        <f aca="false">IF(Inputs!$B$88=2,0,-(AC21*Inputs!$B$142+AC22*Inputs!$B$143))</f>
        <v>0</v>
      </c>
      <c r="AD23" s="41" t="n">
        <f aca="false">IF(Inputs!$B$88=2,0,-(AD21*Inputs!$B$142+AD22*Inputs!$B$143))</f>
        <v>0</v>
      </c>
      <c r="AE23" s="41" t="n">
        <f aca="false">IF(Inputs!$B$88=2,0,-(AE21*Inputs!$B$142+AE22*Inputs!$B$143))</f>
        <v>0</v>
      </c>
      <c r="AF23" s="41" t="n">
        <f aca="false">IF(Inputs!$B$88=2,0,-(AF21*Inputs!$B$142+AF22*Inputs!$B$143))</f>
        <v>0</v>
      </c>
      <c r="AG23" s="41" t="n">
        <f aca="false">IF(Inputs!$B$88=2,0,-(AG21*Inputs!$B$142+AG22*Inputs!$B$143))</f>
        <v>0</v>
      </c>
      <c r="AH23" s="41" t="n">
        <f aca="false">IF(Inputs!$B$88=2,0,-(AH21*Inputs!$B$142+AH22*Inputs!$B$143))</f>
        <v>0</v>
      </c>
      <c r="AI23" s="41" t="n">
        <f aca="false">IF(Inputs!$B$88=2,0,-(AI21*Inputs!$B$142+AI22*Inputs!$B$143))</f>
        <v>0</v>
      </c>
      <c r="AJ23" s="41" t="n">
        <f aca="false">IF(Inputs!$B$88=2,0,-(AJ21*Inputs!$B$142+AJ22*Inputs!$B$143))</f>
        <v>0</v>
      </c>
      <c r="AK23" s="41" t="n">
        <f aca="false">IF(Inputs!$B$88=2,0,-(AK21*Inputs!$B$142+AK22*Inputs!$B$143))</f>
        <v>0</v>
      </c>
      <c r="AL23" s="41" t="n">
        <f aca="false">IF(Inputs!$B$88=2,0,-(AL21*Inputs!$B$142+AL22*Inputs!$B$143))</f>
        <v>0</v>
      </c>
      <c r="AM23" s="41" t="n">
        <f aca="false">IF(Inputs!$B$88=2,0,-(AM21*Inputs!$B$142+AM22*Inputs!$B$143))</f>
        <v>0</v>
      </c>
      <c r="AN23" s="41" t="n">
        <f aca="false">IF(Inputs!$B$88=2,0,-(AN21*Inputs!$B$142+AN22*Inputs!$B$143))</f>
        <v>0</v>
      </c>
      <c r="AO23" s="41" t="n">
        <f aca="false">IF(Inputs!$B$88=2,0,-(AO21*Inputs!$B$142+AO22*Inputs!$B$143))</f>
        <v>0</v>
      </c>
      <c r="AP23" s="41" t="n">
        <f aca="false">IF(Inputs!$B$88=2,0,-(AP21*Inputs!$B$142+AP22*Inputs!$B$143))</f>
        <v>0</v>
      </c>
      <c r="AQ23" s="41" t="n">
        <f aca="false">IF(Inputs!$B$88=2,0,-(AQ21*Inputs!$B$142+AQ22*Inputs!$B$143))</f>
        <v>0</v>
      </c>
      <c r="AR23" s="41" t="n">
        <f aca="false">IF(Inputs!$B$88=2,0,-(AR21*Inputs!$B$142+AR22*Inputs!$B$143))</f>
        <v>0</v>
      </c>
      <c r="AS23" s="41" t="n">
        <f aca="false">IF(Inputs!$B$88=2,0,-(AS21*Inputs!$B$142+AS22*Inputs!$B$143))</f>
        <v>0</v>
      </c>
      <c r="AT23" s="41" t="n">
        <f aca="false">IF(Inputs!$B$88=2,0,-(AT21*Inputs!$B$142+AT22*Inputs!$B$143))</f>
        <v>0</v>
      </c>
      <c r="AU23" s="41" t="n">
        <f aca="false">IF(Inputs!$B$88=2,0,-(AU21*Inputs!$B$142+AU22*Inputs!$B$143))</f>
        <v>0</v>
      </c>
      <c r="AV23" s="41" t="n">
        <f aca="false">IF(Inputs!$B$88=2,0,-(AV21*Inputs!$B$142+AV22*Inputs!$B$143))</f>
        <v>0</v>
      </c>
      <c r="AW23" s="41" t="n">
        <f aca="false">IF(Inputs!$B$88=2,0,-(AW21*Inputs!$B$142+AW22*Inputs!$B$143))</f>
        <v>0</v>
      </c>
      <c r="AX23" s="41" t="n">
        <f aca="false">IF(Inputs!$B$88=2,0,-(AX21*Inputs!$B$142+AX22*Inputs!$B$143))</f>
        <v>0</v>
      </c>
      <c r="AY23" s="41" t="n">
        <f aca="false">IF(Inputs!$B$88=2,0,-(AY21*Inputs!$B$142+AY22*Inputs!$B$143))</f>
        <v>0</v>
      </c>
      <c r="AZ23" s="41" t="n">
        <f aca="false">IF(Inputs!$B$88=2,0,-(AZ21*Inputs!$B$142+AZ22*Inputs!$B$143))</f>
        <v>0</v>
      </c>
    </row>
    <row r="24" customFormat="false" ht="15" hidden="false" customHeight="true" outlineLevel="0" collapsed="false">
      <c r="A24" s="13" t="s">
        <v>417</v>
      </c>
      <c r="B24" s="2"/>
      <c r="C24" s="41" t="n">
        <f aca="false">SUM(D24:AZ24)</f>
        <v>-175.335770590708</v>
      </c>
      <c r="D24" s="41" t="n">
        <f aca="false">-IF(D20&gt;0,Inputs!$B$144*(1+Inputs!$B$166)^(2026-2028),0)</f>
        <v>-0</v>
      </c>
      <c r="E24" s="41" t="n">
        <f aca="false">-IF(E20&gt;0,Inputs!$B$144*(1+Inputs!$B$166)^(2027-2028),0)</f>
        <v>-0</v>
      </c>
      <c r="F24" s="41" t="n">
        <f aca="false">-IF(F20&gt;0,Inputs!$B$144*(1+Inputs!$B$166)^(2028-2028),0)</f>
        <v>-2</v>
      </c>
      <c r="G24" s="41" t="n">
        <f aca="false">-IF(G20&gt;0,Inputs!$B$144*(1+Inputs!$B$166)^(2029-2028),0)</f>
        <v>-2.05</v>
      </c>
      <c r="H24" s="41" t="n">
        <f aca="false">-IF(H20&gt;0,Inputs!$B$144*(1+Inputs!$B$166)^(2030-2028),0)</f>
        <v>-2.10125</v>
      </c>
      <c r="I24" s="41" t="n">
        <f aca="false">-IF(I20&gt;0,Inputs!$B$144*(1+Inputs!$B$166)^(2031-2028),0)</f>
        <v>-2.15378125</v>
      </c>
      <c r="J24" s="41" t="n">
        <f aca="false">-IF(J20&gt;0,Inputs!$B$144*(1+Inputs!$B$166)^(2032-2028),0)</f>
        <v>-2.20762578125</v>
      </c>
      <c r="K24" s="41" t="n">
        <f aca="false">-IF(K20&gt;0,Inputs!$B$144*(1+Inputs!$B$166)^(2033-2028),0)</f>
        <v>-2.26281642578125</v>
      </c>
      <c r="L24" s="41" t="n">
        <f aca="false">-IF(L20&gt;0,Inputs!$B$144*(1+Inputs!$B$166)^(2034-2028),0)</f>
        <v>-2.31938683642578</v>
      </c>
      <c r="M24" s="41" t="n">
        <f aca="false">-IF(M20&gt;0,Inputs!$B$144*(1+Inputs!$B$166)^(2035-2028),0)</f>
        <v>-2.37737150733642</v>
      </c>
      <c r="N24" s="41" t="n">
        <f aca="false">-IF(N20&gt;0,Inputs!$B$144*(1+Inputs!$B$166)^(2036-2028),0)</f>
        <v>-2.43680579501983</v>
      </c>
      <c r="O24" s="41" t="n">
        <f aca="false">-IF(O20&gt;0,Inputs!$B$144*(1+Inputs!$B$166)^(2037-2028),0)</f>
        <v>-2.49772593989533</v>
      </c>
      <c r="P24" s="41" t="n">
        <f aca="false">-IF(P20&gt;0,Inputs!$B$144*(1+Inputs!$B$166)^(2038-2028),0)</f>
        <v>-2.56016908839271</v>
      </c>
      <c r="Q24" s="41" t="n">
        <f aca="false">-IF(Q20&gt;0,Inputs!$B$144*(1+Inputs!$B$166)^(2039-2028),0)</f>
        <v>-2.62417331560253</v>
      </c>
      <c r="R24" s="41" t="n">
        <f aca="false">-IF(R20&gt;0,Inputs!$B$144*(1+Inputs!$B$166)^(2040-2028),0)</f>
        <v>-2.68977764849259</v>
      </c>
      <c r="S24" s="41" t="n">
        <f aca="false">-IF(S20&gt;0,Inputs!$B$144*(1+Inputs!$B$166)^(2041-2028),0)</f>
        <v>-2.75702208970491</v>
      </c>
      <c r="T24" s="41" t="n">
        <f aca="false">-IF(T20&gt;0,Inputs!$B$144*(1+Inputs!$B$166)^(2042-2028),0)</f>
        <v>-2.82594764194753</v>
      </c>
      <c r="U24" s="41" t="n">
        <f aca="false">-IF(U20&gt;0,Inputs!$B$144*(1+Inputs!$B$166)^(2043-2028),0)</f>
        <v>-2.89659633299622</v>
      </c>
      <c r="V24" s="41" t="n">
        <f aca="false">-IF(V20&gt;0,Inputs!$B$144*(1+Inputs!$B$166)^(2044-2028),0)</f>
        <v>-2.96901124132112</v>
      </c>
      <c r="W24" s="41" t="n">
        <f aca="false">-IF(W20&gt;0,Inputs!$B$144*(1+Inputs!$B$166)^(2045-2028),0)</f>
        <v>-3.04323652235415</v>
      </c>
      <c r="X24" s="41" t="n">
        <f aca="false">-IF(X20&gt;0,Inputs!$B$144*(1+Inputs!$B$166)^(2046-2028),0)</f>
        <v>-3.11931743541301</v>
      </c>
      <c r="Y24" s="41" t="n">
        <f aca="false">-IF(Y20&gt;0,Inputs!$B$144*(1+Inputs!$B$166)^(2047-2028),0)</f>
        <v>-3.19730037129833</v>
      </c>
      <c r="Z24" s="41" t="n">
        <f aca="false">-IF(Z20&gt;0,Inputs!$B$144*(1+Inputs!$B$166)^(2048-2028),0)</f>
        <v>-3.27723288058079</v>
      </c>
      <c r="AA24" s="41" t="n">
        <f aca="false">-IF(AA20&gt;0,Inputs!$B$144*(1+Inputs!$B$166)^(2049-2028),0)</f>
        <v>-3.35916370259531</v>
      </c>
      <c r="AB24" s="41" t="n">
        <f aca="false">-IF(AB20&gt;0,Inputs!$B$144*(1+Inputs!$B$166)^(2050-2028),0)</f>
        <v>-3.44314279516019</v>
      </c>
      <c r="AC24" s="41" t="n">
        <f aca="false">-IF(AC20&gt;0,Inputs!$B$144*(1+Inputs!$B$166)^(2051-2028),0)</f>
        <v>-3.5292213650392</v>
      </c>
      <c r="AD24" s="41" t="n">
        <f aca="false">-IF(AD20&gt;0,Inputs!$B$144*(1+Inputs!$B$166)^(2052-2028),0)</f>
        <v>-3.61745189916517</v>
      </c>
      <c r="AE24" s="41" t="n">
        <f aca="false">-IF(AE20&gt;0,Inputs!$B$144*(1+Inputs!$B$166)^(2053-2028),0)</f>
        <v>-3.7078881966443</v>
      </c>
      <c r="AF24" s="41" t="n">
        <f aca="false">-IF(AF20&gt;0,Inputs!$B$144*(1+Inputs!$B$166)^(2054-2028),0)</f>
        <v>-3.80058540156041</v>
      </c>
      <c r="AG24" s="41" t="n">
        <f aca="false">-IF(AG20&gt;0,Inputs!$B$144*(1+Inputs!$B$166)^(2055-2028),0)</f>
        <v>-3.89560003659942</v>
      </c>
      <c r="AH24" s="41" t="n">
        <f aca="false">-IF(AH20&gt;0,Inputs!$B$144*(1+Inputs!$B$166)^(2056-2028),0)</f>
        <v>-3.99299003751441</v>
      </c>
      <c r="AI24" s="41" t="n">
        <f aca="false">-IF(AI20&gt;0,Inputs!$B$144*(1+Inputs!$B$166)^(2057-2028),0)</f>
        <v>-4.09281478845227</v>
      </c>
      <c r="AJ24" s="41" t="n">
        <f aca="false">-IF(AJ20&gt;0,Inputs!$B$144*(1+Inputs!$B$166)^(2058-2028),0)</f>
        <v>-4.19513515816357</v>
      </c>
      <c r="AK24" s="41" t="n">
        <f aca="false">-IF(AK20&gt;0,Inputs!$B$144*(1+Inputs!$B$166)^(2059-2028),0)</f>
        <v>-4.30001353711766</v>
      </c>
      <c r="AL24" s="41" t="n">
        <f aca="false">-IF(AL20&gt;0,Inputs!$B$144*(1+Inputs!$B$166)^(2060-2028),0)</f>
        <v>-4.4075138755456</v>
      </c>
      <c r="AM24" s="41" t="n">
        <f aca="false">-IF(AM20&gt;0,Inputs!$B$144*(1+Inputs!$B$166)^(2061-2028),0)</f>
        <v>-4.51770172243424</v>
      </c>
      <c r="AN24" s="41" t="n">
        <f aca="false">-IF(AN20&gt;0,Inputs!$B$144*(1+Inputs!$B$166)^(2062-2028),0)</f>
        <v>-4.6306442654951</v>
      </c>
      <c r="AO24" s="41" t="n">
        <f aca="false">-IF(AO20&gt;0,Inputs!$B$144*(1+Inputs!$B$166)^(2063-2028),0)</f>
        <v>-4.74641037213247</v>
      </c>
      <c r="AP24" s="41" t="n">
        <f aca="false">-IF(AP20&gt;0,Inputs!$B$144*(1+Inputs!$B$166)^(2064-2028),0)</f>
        <v>-4.86507063143579</v>
      </c>
      <c r="AQ24" s="41" t="n">
        <f aca="false">-IF(AQ20&gt;0,Inputs!$B$144*(1+Inputs!$B$166)^(2065-2028),0)</f>
        <v>-4.98669739722168</v>
      </c>
      <c r="AR24" s="41" t="n">
        <f aca="false">-IF(AR20&gt;0,Inputs!$B$144*(1+Inputs!$B$166)^(2066-2028),0)</f>
        <v>-5.11136483215222</v>
      </c>
      <c r="AS24" s="41" t="n">
        <f aca="false">-IF(AS20&gt;0,Inputs!$B$144*(1+Inputs!$B$166)^(2067-2028),0)</f>
        <v>-5.23914895295603</v>
      </c>
      <c r="AT24" s="41" t="n">
        <f aca="false">-IF(AT20&gt;0,Inputs!$B$144*(1+Inputs!$B$166)^(2068-2028),0)</f>
        <v>-5.37012767677993</v>
      </c>
      <c r="AU24" s="41" t="n">
        <f aca="false">-IF(AU20&gt;0,Inputs!$B$144*(1+Inputs!$B$166)^(2069-2028),0)</f>
        <v>-5.50438086869943</v>
      </c>
      <c r="AV24" s="41" t="n">
        <f aca="false">-IF(AV20&gt;0,Inputs!$B$144*(1+Inputs!$B$166)^(2070-2028),0)</f>
        <v>-5.64199039041691</v>
      </c>
      <c r="AW24" s="41" t="n">
        <f aca="false">-IF(AW20&gt;0,Inputs!$B$144*(1+Inputs!$B$166)^(2071-2028),0)</f>
        <v>-5.78304015017733</v>
      </c>
      <c r="AX24" s="41" t="n">
        <f aca="false">-IF(AX20&gt;0,Inputs!$B$144*(1+Inputs!$B$166)^(2072-2028),0)</f>
        <v>-5.92761615393177</v>
      </c>
      <c r="AY24" s="41" t="n">
        <f aca="false">-IF(AY20&gt;0,Inputs!$B$144*(1+Inputs!$B$166)^(2073-2028),0)</f>
        <v>-6.07580655778006</v>
      </c>
      <c r="AZ24" s="41" t="n">
        <f aca="false">-IF(AZ20&gt;0,Inputs!$B$144*(1+Inputs!$B$166)^(2074-2028),0)</f>
        <v>-6.22770172172456</v>
      </c>
    </row>
    <row r="25" customFormat="false" ht="15" hidden="false" customHeight="true" outlineLevel="0" collapsed="false">
      <c r="A25" s="6" t="s">
        <v>418</v>
      </c>
      <c r="B25" s="2"/>
      <c r="C25" s="44" t="n">
        <f aca="false">SUM(D25:AZ25)</f>
        <v>4881.78120642385</v>
      </c>
      <c r="D25" s="44" t="n">
        <f aca="false">SUM(D22:D24)</f>
        <v>0</v>
      </c>
      <c r="E25" s="44" t="n">
        <f aca="false">SUM(E22:E24)</f>
        <v>0</v>
      </c>
      <c r="F25" s="44" t="n">
        <f aca="false">SUM(F22:F24)</f>
        <v>7.251</v>
      </c>
      <c r="G25" s="44" t="n">
        <f aca="false">SUM(G22:G24)</f>
        <v>34.928</v>
      </c>
      <c r="H25" s="44" t="n">
        <f aca="false">SUM(H22:H24)</f>
        <v>37.41175</v>
      </c>
      <c r="I25" s="44" t="n">
        <f aca="false">SUM(I22:I24)</f>
        <v>39.21221875</v>
      </c>
      <c r="J25" s="44" t="n">
        <f aca="false">SUM(J22:J24)</f>
        <v>42.96437421875</v>
      </c>
      <c r="K25" s="44" t="n">
        <f aca="false">SUM(K22:K24)</f>
        <v>46.9461835742188</v>
      </c>
      <c r="L25" s="44" t="n">
        <f aca="false">SUM(L22:L24)</f>
        <v>51.5386131635742</v>
      </c>
      <c r="M25" s="44" t="n">
        <f aca="false">SUM(M22:M24)</f>
        <v>56.5836284926636</v>
      </c>
      <c r="N25" s="44" t="n">
        <f aca="false">SUM(N22:N24)</f>
        <v>60.7931942049802</v>
      </c>
      <c r="O25" s="44" t="n">
        <f aca="false">SUM(O22:O24)</f>
        <v>64.9322740601047</v>
      </c>
      <c r="P25" s="44" t="n">
        <f aca="false">SUM(P22:P24)</f>
        <v>69.0288309116073</v>
      </c>
      <c r="Q25" s="44" t="n">
        <f aca="false">SUM(Q22:Q24)</f>
        <v>73.4748266843975</v>
      </c>
      <c r="R25" s="44" t="n">
        <f aca="false">SUM(R22:R24)</f>
        <v>78.2242223515074</v>
      </c>
      <c r="S25" s="44" t="n">
        <f aca="false">SUM(S22:S24)</f>
        <v>80.1798279102951</v>
      </c>
      <c r="T25" s="44" t="n">
        <f aca="false">SUM(T22:T24)</f>
        <v>82.1843236080525</v>
      </c>
      <c r="U25" s="44" t="n">
        <f aca="false">SUM(U22:U24)</f>
        <v>84.2389316982537</v>
      </c>
      <c r="V25" s="44" t="n">
        <f aca="false">SUM(V22:V24)</f>
        <v>86.3449049907101</v>
      </c>
      <c r="W25" s="44" t="n">
        <f aca="false">SUM(W22:W24)</f>
        <v>88.5035276154778</v>
      </c>
      <c r="X25" s="44" t="n">
        <f aca="false">SUM(X22:X24)</f>
        <v>90.7161158058648</v>
      </c>
      <c r="Y25" s="44" t="n">
        <f aca="false">SUM(Y22:Y24)</f>
        <v>92.9840187010114</v>
      </c>
      <c r="Z25" s="44" t="n">
        <f aca="false">SUM(Z22:Z24)</f>
        <v>95.3086191685367</v>
      </c>
      <c r="AA25" s="44" t="n">
        <f aca="false">SUM(AA22:AA24)</f>
        <v>97.6913346477501</v>
      </c>
      <c r="AB25" s="44" t="n">
        <f aca="false">SUM(AB22:AB24)</f>
        <v>100.133618013944</v>
      </c>
      <c r="AC25" s="44" t="n">
        <f aca="false">SUM(AC22:AC24)</f>
        <v>102.636958464292</v>
      </c>
      <c r="AD25" s="44" t="n">
        <f aca="false">SUM(AD22:AD24)</f>
        <v>105.2028824259</v>
      </c>
      <c r="AE25" s="44" t="n">
        <f aca="false">SUM(AE22:AE24)</f>
        <v>107.832954486547</v>
      </c>
      <c r="AF25" s="44" t="n">
        <f aca="false">SUM(AF22:AF24)</f>
        <v>110.528778348711</v>
      </c>
      <c r="AG25" s="44" t="n">
        <f aca="false">SUM(AG22:AG24)</f>
        <v>113.291997807429</v>
      </c>
      <c r="AH25" s="44" t="n">
        <f aca="false">SUM(AH22:AH24)</f>
        <v>116.124297752614</v>
      </c>
      <c r="AI25" s="44" t="n">
        <f aca="false">SUM(AI22:AI24)</f>
        <v>119.02740519643</v>
      </c>
      <c r="AJ25" s="44" t="n">
        <f aca="false">SUM(AJ22:AJ24)</f>
        <v>122.00309032634</v>
      </c>
      <c r="AK25" s="44" t="n">
        <f aca="false">SUM(AK22:AK24)</f>
        <v>125.053167584499</v>
      </c>
      <c r="AL25" s="44" t="n">
        <f aca="false">SUM(AL22:AL24)</f>
        <v>128.179496774111</v>
      </c>
      <c r="AM25" s="44" t="n">
        <f aca="false">SUM(AM22:AM24)</f>
        <v>131.383984193464</v>
      </c>
      <c r="AN25" s="44" t="n">
        <f aca="false">SUM(AN22:AN24)</f>
        <v>134.668583798301</v>
      </c>
      <c r="AO25" s="44" t="n">
        <f aca="false">SUM(AO22:AO24)</f>
        <v>138.035298393258</v>
      </c>
      <c r="AP25" s="44" t="n">
        <f aca="false">SUM(AP22:AP24)</f>
        <v>141.48618085309</v>
      </c>
      <c r="AQ25" s="44" t="n">
        <f aca="false">SUM(AQ22:AQ24)</f>
        <v>145.023335374417</v>
      </c>
      <c r="AR25" s="44" t="n">
        <f aca="false">SUM(AR22:AR24)</f>
        <v>148.648918758777</v>
      </c>
      <c r="AS25" s="44" t="n">
        <f aca="false">SUM(AS22:AS24)</f>
        <v>152.365141727747</v>
      </c>
      <c r="AT25" s="44" t="n">
        <f aca="false">SUM(AT22:AT24)</f>
        <v>156.17427027094</v>
      </c>
      <c r="AU25" s="44" t="n">
        <f aca="false">SUM(AU22:AU24)</f>
        <v>160.078627027714</v>
      </c>
      <c r="AV25" s="44" t="n">
        <f aca="false">SUM(AV22:AV24)</f>
        <v>164.080592703407</v>
      </c>
      <c r="AW25" s="44" t="n">
        <f aca="false">SUM(AW22:AW24)</f>
        <v>168.182607520992</v>
      </c>
      <c r="AX25" s="44" t="n">
        <f aca="false">SUM(AX22:AX24)</f>
        <v>172.387172709017</v>
      </c>
      <c r="AY25" s="44" t="n">
        <f aca="false">SUM(AY22:AY24)</f>
        <v>176.696852026742</v>
      </c>
      <c r="AZ25" s="44" t="n">
        <f aca="false">SUM(AZ22:AZ24)</f>
        <v>181.114273327411</v>
      </c>
    </row>
    <row r="26" customFormat="false" ht="15" hidden="false" customHeight="true" outlineLevel="0" collapsed="false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customFormat="false" ht="15" hidden="false" customHeight="true" outlineLevel="0" collapsed="false">
      <c r="A27" s="11" t="s">
        <v>419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</row>
    <row r="28" customFormat="false" ht="15" hidden="false" customHeight="true" outlineLevel="0" collapsed="false">
      <c r="A28" s="6" t="s">
        <v>420</v>
      </c>
      <c r="B28" s="2"/>
      <c r="C28" s="21" t="n">
        <f aca="false">SUM(D28:AZ28)</f>
        <v>5463.70647788357</v>
      </c>
      <c r="D28" s="21" t="n">
        <f aca="false">IF((2026-Inputs!$B$51-Inputs!$B$9)&lt;0,0,IF((2026-Inputs!$B$51-Inputs!$B$9)=0,Inputs!$B$157*Inputs!$B$52,IF((2026-Inputs!$B$51-Inputs!$B$9)=1,Inputs!$B$157,IF((2026-Inputs!$B$51-Inputs!$B$9)=2,Inputs!$C$157,Inputs!$D$157*(1+Inputs!$B$159)^INT(((2026-Inputs!$B$51-Inputs!$B$9)-3)/3)))))*Inputs!$B$8</f>
        <v>0</v>
      </c>
      <c r="E28" s="21" t="n">
        <f aca="false">IF((2027-Inputs!$B$51-Inputs!$B$9)&lt;0,0,IF((2027-Inputs!$B$51-Inputs!$B$9)=0,Inputs!$B$157*Inputs!$B$52,IF((2027-Inputs!$B$51-Inputs!$B$9)=1,Inputs!$B$157,IF((2027-Inputs!$B$51-Inputs!$B$9)=2,Inputs!$C$157,Inputs!$D$157*(1+Inputs!$B$159)^INT(((2027-Inputs!$B$51-Inputs!$B$9)-3)/3)))))*Inputs!$B$8</f>
        <v>0</v>
      </c>
      <c r="F28" s="21" t="n">
        <f aca="false">IF((2028-Inputs!$B$51-Inputs!$B$9)&lt;0,0,IF((2028-Inputs!$B$51-Inputs!$B$9)=0,Inputs!$B$157*Inputs!$B$52,IF((2028-Inputs!$B$51-Inputs!$B$9)=1,Inputs!$B$157,IF((2028-Inputs!$B$51-Inputs!$B$9)=2,Inputs!$C$157,Inputs!$D$157*(1+Inputs!$B$159)^INT(((2028-Inputs!$B$51-Inputs!$B$9)-3)/3)))))*Inputs!$B$8</f>
        <v>9.23484163860281</v>
      </c>
      <c r="G28" s="21" t="n">
        <f aca="false">IF((2029-Inputs!$B$51-Inputs!$B$9)&lt;0,0,IF((2029-Inputs!$B$51-Inputs!$B$9)=0,Inputs!$B$157*Inputs!$B$52,IF((2029-Inputs!$B$51-Inputs!$B$9)=1,Inputs!$B$157,IF((2029-Inputs!$B$51-Inputs!$B$9)=2,Inputs!$C$157,Inputs!$D$157*(1+Inputs!$B$159)^INT(((2029-Inputs!$B$51-Inputs!$B$9)-3)/3)))))*Inputs!$B$8</f>
        <v>36.9393665544112</v>
      </c>
      <c r="H28" s="21" t="n">
        <f aca="false">IF((2030-Inputs!$B$51-Inputs!$B$9)&lt;0,0,IF((2030-Inputs!$B$51-Inputs!$B$9)=0,Inputs!$B$157*Inputs!$B$52,IF((2030-Inputs!$B$51-Inputs!$B$9)=1,Inputs!$B$157,IF((2030-Inputs!$B$51-Inputs!$B$9)=2,Inputs!$C$157,Inputs!$D$157*(1+Inputs!$B$159)^INT(((2030-Inputs!$B$51-Inputs!$B$9)-3)/3)))))*Inputs!$B$8</f>
        <v>48.1937282816604</v>
      </c>
      <c r="I28" s="21" t="n">
        <f aca="false">IF((2031-Inputs!$B$51-Inputs!$B$9)&lt;0,0,IF((2031-Inputs!$B$51-Inputs!$B$9)=0,Inputs!$B$157*Inputs!$B$52,IF((2031-Inputs!$B$51-Inputs!$B$9)=1,Inputs!$B$157,IF((2031-Inputs!$B$51-Inputs!$B$9)=2,Inputs!$C$157,Inputs!$D$157*(1+Inputs!$B$159)^INT(((2031-Inputs!$B$51-Inputs!$B$9)-3)/3)))))*Inputs!$B$8</f>
        <v>58.6685059626762</v>
      </c>
      <c r="J28" s="21" t="n">
        <f aca="false">IF((2032-Inputs!$B$51-Inputs!$B$9)&lt;0,0,IF((2032-Inputs!$B$51-Inputs!$B$9)=0,Inputs!$B$157*Inputs!$B$52,IF((2032-Inputs!$B$51-Inputs!$B$9)=1,Inputs!$B$157,IF((2032-Inputs!$B$51-Inputs!$B$9)=2,Inputs!$C$157,Inputs!$D$157*(1+Inputs!$B$159)^INT(((2032-Inputs!$B$51-Inputs!$B$9)-3)/3)))))*Inputs!$B$8</f>
        <v>58.6685059626762</v>
      </c>
      <c r="K28" s="21" t="n">
        <f aca="false">IF((2033-Inputs!$B$51-Inputs!$B$9)&lt;0,0,IF((2033-Inputs!$B$51-Inputs!$B$9)=0,Inputs!$B$157*Inputs!$B$52,IF((2033-Inputs!$B$51-Inputs!$B$9)=1,Inputs!$B$157,IF((2033-Inputs!$B$51-Inputs!$B$9)=2,Inputs!$C$157,Inputs!$D$157*(1+Inputs!$B$159)^INT(((2033-Inputs!$B$51-Inputs!$B$9)-3)/3)))))*Inputs!$B$8</f>
        <v>58.6685059626762</v>
      </c>
      <c r="L28" s="21" t="n">
        <f aca="false">IF((2034-Inputs!$B$51-Inputs!$B$9)&lt;0,0,IF((2034-Inputs!$B$51-Inputs!$B$9)=0,Inputs!$B$157*Inputs!$B$52,IF((2034-Inputs!$B$51-Inputs!$B$9)=1,Inputs!$B$157,IF((2034-Inputs!$B$51-Inputs!$B$9)=2,Inputs!$C$157,Inputs!$D$157*(1+Inputs!$B$159)^INT(((2034-Inputs!$B$51-Inputs!$B$9)-3)/3)))))*Inputs!$B$8</f>
        <v>64.5353565589438</v>
      </c>
      <c r="M28" s="21" t="n">
        <f aca="false">IF((2035-Inputs!$B$51-Inputs!$B$9)&lt;0,0,IF((2035-Inputs!$B$51-Inputs!$B$9)=0,Inputs!$B$157*Inputs!$B$52,IF((2035-Inputs!$B$51-Inputs!$B$9)=1,Inputs!$B$157,IF((2035-Inputs!$B$51-Inputs!$B$9)=2,Inputs!$C$157,Inputs!$D$157*(1+Inputs!$B$159)^INT(((2035-Inputs!$B$51-Inputs!$B$9)-3)/3)))))*Inputs!$B$8</f>
        <v>64.5353565589438</v>
      </c>
      <c r="N28" s="21" t="n">
        <f aca="false">IF((2036-Inputs!$B$51-Inputs!$B$9)&lt;0,0,IF((2036-Inputs!$B$51-Inputs!$B$9)=0,Inputs!$B$157*Inputs!$B$52,IF((2036-Inputs!$B$51-Inputs!$B$9)=1,Inputs!$B$157,IF((2036-Inputs!$B$51-Inputs!$B$9)=2,Inputs!$C$157,Inputs!$D$157*(1+Inputs!$B$159)^INT(((2036-Inputs!$B$51-Inputs!$B$9)-3)/3)))))*Inputs!$B$8</f>
        <v>64.5353565589438</v>
      </c>
      <c r="O28" s="21" t="n">
        <f aca="false">IF((2037-Inputs!$B$51-Inputs!$B$9)&lt;0,0,IF((2037-Inputs!$B$51-Inputs!$B$9)=0,Inputs!$B$157*Inputs!$B$52,IF((2037-Inputs!$B$51-Inputs!$B$9)=1,Inputs!$B$157,IF((2037-Inputs!$B$51-Inputs!$B$9)=2,Inputs!$C$157,Inputs!$D$157*(1+Inputs!$B$159)^INT(((2037-Inputs!$B$51-Inputs!$B$9)-3)/3)))))*Inputs!$B$8</f>
        <v>70.9888922148382</v>
      </c>
      <c r="P28" s="21" t="n">
        <f aca="false">IF((2038-Inputs!$B$51-Inputs!$B$9)&lt;0,0,IF((2038-Inputs!$B$51-Inputs!$B$9)=0,Inputs!$B$157*Inputs!$B$52,IF((2038-Inputs!$B$51-Inputs!$B$9)=1,Inputs!$B$157,IF((2038-Inputs!$B$51-Inputs!$B$9)=2,Inputs!$C$157,Inputs!$D$157*(1+Inputs!$B$159)^INT(((2038-Inputs!$B$51-Inputs!$B$9)-3)/3)))))*Inputs!$B$8</f>
        <v>70.9888922148382</v>
      </c>
      <c r="Q28" s="21" t="n">
        <f aca="false">IF((2039-Inputs!$B$51-Inputs!$B$9)&lt;0,0,IF((2039-Inputs!$B$51-Inputs!$B$9)=0,Inputs!$B$157*Inputs!$B$52,IF((2039-Inputs!$B$51-Inputs!$B$9)=1,Inputs!$B$157,IF((2039-Inputs!$B$51-Inputs!$B$9)=2,Inputs!$C$157,Inputs!$D$157*(1+Inputs!$B$159)^INT(((2039-Inputs!$B$51-Inputs!$B$9)-3)/3)))))*Inputs!$B$8</f>
        <v>70.9888922148382</v>
      </c>
      <c r="R28" s="21" t="n">
        <f aca="false">IF((2040-Inputs!$B$51-Inputs!$B$9)&lt;0,0,IF((2040-Inputs!$B$51-Inputs!$B$9)=0,Inputs!$B$157*Inputs!$B$52,IF((2040-Inputs!$B$51-Inputs!$B$9)=1,Inputs!$B$157,IF((2040-Inputs!$B$51-Inputs!$B$9)=2,Inputs!$C$157,Inputs!$D$157*(1+Inputs!$B$159)^INT(((2040-Inputs!$B$51-Inputs!$B$9)-3)/3)))))*Inputs!$B$8</f>
        <v>78.0877814363221</v>
      </c>
      <c r="S28" s="21" t="n">
        <f aca="false">IF((2041-Inputs!$B$51-Inputs!$B$9)&lt;0,0,IF((2041-Inputs!$B$51-Inputs!$B$9)=0,Inputs!$B$157*Inputs!$B$52,IF((2041-Inputs!$B$51-Inputs!$B$9)=1,Inputs!$B$157,IF((2041-Inputs!$B$51-Inputs!$B$9)=2,Inputs!$C$157,Inputs!$D$157*(1+Inputs!$B$159)^INT(((2041-Inputs!$B$51-Inputs!$B$9)-3)/3)))))*Inputs!$B$8</f>
        <v>78.0877814363221</v>
      </c>
      <c r="T28" s="21" t="n">
        <f aca="false">IF((2042-Inputs!$B$51-Inputs!$B$9)&lt;0,0,IF((2042-Inputs!$B$51-Inputs!$B$9)=0,Inputs!$B$157*Inputs!$B$52,IF((2042-Inputs!$B$51-Inputs!$B$9)=1,Inputs!$B$157,IF((2042-Inputs!$B$51-Inputs!$B$9)=2,Inputs!$C$157,Inputs!$D$157*(1+Inputs!$B$159)^INT(((2042-Inputs!$B$51-Inputs!$B$9)-3)/3)))))*Inputs!$B$8</f>
        <v>78.0877814363221</v>
      </c>
      <c r="U28" s="21" t="n">
        <f aca="false">IF((2043-Inputs!$B$51-Inputs!$B$9)&lt;0,0,IF((2043-Inputs!$B$51-Inputs!$B$9)=0,Inputs!$B$157*Inputs!$B$52,IF((2043-Inputs!$B$51-Inputs!$B$9)=1,Inputs!$B$157,IF((2043-Inputs!$B$51-Inputs!$B$9)=2,Inputs!$C$157,Inputs!$D$157*(1+Inputs!$B$159)^INT(((2043-Inputs!$B$51-Inputs!$B$9)-3)/3)))))*Inputs!$B$8</f>
        <v>85.8965595799543</v>
      </c>
      <c r="V28" s="21" t="n">
        <f aca="false">IF((2044-Inputs!$B$51-Inputs!$B$9)&lt;0,0,IF((2044-Inputs!$B$51-Inputs!$B$9)=0,Inputs!$B$157*Inputs!$B$52,IF((2044-Inputs!$B$51-Inputs!$B$9)=1,Inputs!$B$157,IF((2044-Inputs!$B$51-Inputs!$B$9)=2,Inputs!$C$157,Inputs!$D$157*(1+Inputs!$B$159)^INT(((2044-Inputs!$B$51-Inputs!$B$9)-3)/3)))))*Inputs!$B$8</f>
        <v>85.8965595799543</v>
      </c>
      <c r="W28" s="21" t="n">
        <f aca="false">IF((2045-Inputs!$B$51-Inputs!$B$9)&lt;0,0,IF((2045-Inputs!$B$51-Inputs!$B$9)=0,Inputs!$B$157*Inputs!$B$52,IF((2045-Inputs!$B$51-Inputs!$B$9)=1,Inputs!$B$157,IF((2045-Inputs!$B$51-Inputs!$B$9)=2,Inputs!$C$157,Inputs!$D$157*(1+Inputs!$B$159)^INT(((2045-Inputs!$B$51-Inputs!$B$9)-3)/3)))))*Inputs!$B$8</f>
        <v>85.8965595799543</v>
      </c>
      <c r="X28" s="21" t="n">
        <f aca="false">IF((2046-Inputs!$B$51-Inputs!$B$9)&lt;0,0,IF((2046-Inputs!$B$51-Inputs!$B$9)=0,Inputs!$B$157*Inputs!$B$52,IF((2046-Inputs!$B$51-Inputs!$B$9)=1,Inputs!$B$157,IF((2046-Inputs!$B$51-Inputs!$B$9)=2,Inputs!$C$157,Inputs!$D$157*(1+Inputs!$B$159)^INT(((2046-Inputs!$B$51-Inputs!$B$9)-3)/3)))))*Inputs!$B$8</f>
        <v>94.4862155379497</v>
      </c>
      <c r="Y28" s="21" t="n">
        <f aca="false">IF((2047-Inputs!$B$51-Inputs!$B$9)&lt;0,0,IF((2047-Inputs!$B$51-Inputs!$B$9)=0,Inputs!$B$157*Inputs!$B$52,IF((2047-Inputs!$B$51-Inputs!$B$9)=1,Inputs!$B$157,IF((2047-Inputs!$B$51-Inputs!$B$9)=2,Inputs!$C$157,Inputs!$D$157*(1+Inputs!$B$159)^INT(((2047-Inputs!$B$51-Inputs!$B$9)-3)/3)))))*Inputs!$B$8</f>
        <v>94.4862155379497</v>
      </c>
      <c r="Z28" s="21" t="n">
        <f aca="false">IF((2048-Inputs!$B$51-Inputs!$B$9)&lt;0,0,IF((2048-Inputs!$B$51-Inputs!$B$9)=0,Inputs!$B$157*Inputs!$B$52,IF((2048-Inputs!$B$51-Inputs!$B$9)=1,Inputs!$B$157,IF((2048-Inputs!$B$51-Inputs!$B$9)=2,Inputs!$C$157,Inputs!$D$157*(1+Inputs!$B$159)^INT(((2048-Inputs!$B$51-Inputs!$B$9)-3)/3)))))*Inputs!$B$8</f>
        <v>94.4862155379497</v>
      </c>
      <c r="AA28" s="21" t="n">
        <f aca="false">IF((2049-Inputs!$B$51-Inputs!$B$9)&lt;0,0,IF((2049-Inputs!$B$51-Inputs!$B$9)=0,Inputs!$B$157*Inputs!$B$52,IF((2049-Inputs!$B$51-Inputs!$B$9)=1,Inputs!$B$157,IF((2049-Inputs!$B$51-Inputs!$B$9)=2,Inputs!$C$157,Inputs!$D$157*(1+Inputs!$B$159)^INT(((2049-Inputs!$B$51-Inputs!$B$9)-3)/3)))))*Inputs!$B$8</f>
        <v>103.934837091745</v>
      </c>
      <c r="AB28" s="21" t="n">
        <f aca="false">IF((2050-Inputs!$B$51-Inputs!$B$9)&lt;0,0,IF((2050-Inputs!$B$51-Inputs!$B$9)=0,Inputs!$B$157*Inputs!$B$52,IF((2050-Inputs!$B$51-Inputs!$B$9)=1,Inputs!$B$157,IF((2050-Inputs!$B$51-Inputs!$B$9)=2,Inputs!$C$157,Inputs!$D$157*(1+Inputs!$B$159)^INT(((2050-Inputs!$B$51-Inputs!$B$9)-3)/3)))))*Inputs!$B$8</f>
        <v>103.934837091745</v>
      </c>
      <c r="AC28" s="21" t="n">
        <f aca="false">IF((2051-Inputs!$B$51-Inputs!$B$9)&lt;0,0,IF((2051-Inputs!$B$51-Inputs!$B$9)=0,Inputs!$B$157*Inputs!$B$52,IF((2051-Inputs!$B$51-Inputs!$B$9)=1,Inputs!$B$157,IF((2051-Inputs!$B$51-Inputs!$B$9)=2,Inputs!$C$157,Inputs!$D$157*(1+Inputs!$B$159)^INT(((2051-Inputs!$B$51-Inputs!$B$9)-3)/3)))))*Inputs!$B$8</f>
        <v>103.934837091745</v>
      </c>
      <c r="AD28" s="21" t="n">
        <f aca="false">IF((2052-Inputs!$B$51-Inputs!$B$9)&lt;0,0,IF((2052-Inputs!$B$51-Inputs!$B$9)=0,Inputs!$B$157*Inputs!$B$52,IF((2052-Inputs!$B$51-Inputs!$B$9)=1,Inputs!$B$157,IF((2052-Inputs!$B$51-Inputs!$B$9)=2,Inputs!$C$157,Inputs!$D$157*(1+Inputs!$B$159)^INT(((2052-Inputs!$B$51-Inputs!$B$9)-3)/3)))))*Inputs!$B$8</f>
        <v>114.328320800919</v>
      </c>
      <c r="AE28" s="21" t="n">
        <f aca="false">IF((2053-Inputs!$B$51-Inputs!$B$9)&lt;0,0,IF((2053-Inputs!$B$51-Inputs!$B$9)=0,Inputs!$B$157*Inputs!$B$52,IF((2053-Inputs!$B$51-Inputs!$B$9)=1,Inputs!$B$157,IF((2053-Inputs!$B$51-Inputs!$B$9)=2,Inputs!$C$157,Inputs!$D$157*(1+Inputs!$B$159)^INT(((2053-Inputs!$B$51-Inputs!$B$9)-3)/3)))))*Inputs!$B$8</f>
        <v>114.328320800919</v>
      </c>
      <c r="AF28" s="21" t="n">
        <f aca="false">IF((2054-Inputs!$B$51-Inputs!$B$9)&lt;0,0,IF((2054-Inputs!$B$51-Inputs!$B$9)=0,Inputs!$B$157*Inputs!$B$52,IF((2054-Inputs!$B$51-Inputs!$B$9)=1,Inputs!$B$157,IF((2054-Inputs!$B$51-Inputs!$B$9)=2,Inputs!$C$157,Inputs!$D$157*(1+Inputs!$B$159)^INT(((2054-Inputs!$B$51-Inputs!$B$9)-3)/3)))))*Inputs!$B$8</f>
        <v>114.328320800919</v>
      </c>
      <c r="AG28" s="21" t="n">
        <f aca="false">IF((2055-Inputs!$B$51-Inputs!$B$9)&lt;0,0,IF((2055-Inputs!$B$51-Inputs!$B$9)=0,Inputs!$B$157*Inputs!$B$52,IF((2055-Inputs!$B$51-Inputs!$B$9)=1,Inputs!$B$157,IF((2055-Inputs!$B$51-Inputs!$B$9)=2,Inputs!$C$157,Inputs!$D$157*(1+Inputs!$B$159)^INT(((2055-Inputs!$B$51-Inputs!$B$9)-3)/3)))))*Inputs!$B$8</f>
        <v>125.761152881011</v>
      </c>
      <c r="AH28" s="21" t="n">
        <f aca="false">IF((2056-Inputs!$B$51-Inputs!$B$9)&lt;0,0,IF((2056-Inputs!$B$51-Inputs!$B$9)=0,Inputs!$B$157*Inputs!$B$52,IF((2056-Inputs!$B$51-Inputs!$B$9)=1,Inputs!$B$157,IF((2056-Inputs!$B$51-Inputs!$B$9)=2,Inputs!$C$157,Inputs!$D$157*(1+Inputs!$B$159)^INT(((2056-Inputs!$B$51-Inputs!$B$9)-3)/3)))))*Inputs!$B$8</f>
        <v>125.761152881011</v>
      </c>
      <c r="AI28" s="21" t="n">
        <f aca="false">IF((2057-Inputs!$B$51-Inputs!$B$9)&lt;0,0,IF((2057-Inputs!$B$51-Inputs!$B$9)=0,Inputs!$B$157*Inputs!$B$52,IF((2057-Inputs!$B$51-Inputs!$B$9)=1,Inputs!$B$157,IF((2057-Inputs!$B$51-Inputs!$B$9)=2,Inputs!$C$157,Inputs!$D$157*(1+Inputs!$B$159)^INT(((2057-Inputs!$B$51-Inputs!$B$9)-3)/3)))))*Inputs!$B$8</f>
        <v>125.761152881011</v>
      </c>
      <c r="AJ28" s="21" t="n">
        <f aca="false">IF((2058-Inputs!$B$51-Inputs!$B$9)&lt;0,0,IF((2058-Inputs!$B$51-Inputs!$B$9)=0,Inputs!$B$157*Inputs!$B$52,IF((2058-Inputs!$B$51-Inputs!$B$9)=1,Inputs!$B$157,IF((2058-Inputs!$B$51-Inputs!$B$9)=2,Inputs!$C$157,Inputs!$D$157*(1+Inputs!$B$159)^INT(((2058-Inputs!$B$51-Inputs!$B$9)-3)/3)))))*Inputs!$B$8</f>
        <v>138.337268169112</v>
      </c>
      <c r="AK28" s="21" t="n">
        <f aca="false">IF((2059-Inputs!$B$51-Inputs!$B$9)&lt;0,0,IF((2059-Inputs!$B$51-Inputs!$B$9)=0,Inputs!$B$157*Inputs!$B$52,IF((2059-Inputs!$B$51-Inputs!$B$9)=1,Inputs!$B$157,IF((2059-Inputs!$B$51-Inputs!$B$9)=2,Inputs!$C$157,Inputs!$D$157*(1+Inputs!$B$159)^INT(((2059-Inputs!$B$51-Inputs!$B$9)-3)/3)))))*Inputs!$B$8</f>
        <v>138.337268169112</v>
      </c>
      <c r="AL28" s="21" t="n">
        <f aca="false">IF((2060-Inputs!$B$51-Inputs!$B$9)&lt;0,0,IF((2060-Inputs!$B$51-Inputs!$B$9)=0,Inputs!$B$157*Inputs!$B$52,IF((2060-Inputs!$B$51-Inputs!$B$9)=1,Inputs!$B$157,IF((2060-Inputs!$B$51-Inputs!$B$9)=2,Inputs!$C$157,Inputs!$D$157*(1+Inputs!$B$159)^INT(((2060-Inputs!$B$51-Inputs!$B$9)-3)/3)))))*Inputs!$B$8</f>
        <v>138.337268169112</v>
      </c>
      <c r="AM28" s="21" t="n">
        <f aca="false">IF((2061-Inputs!$B$51-Inputs!$B$9)&lt;0,0,IF((2061-Inputs!$B$51-Inputs!$B$9)=0,Inputs!$B$157*Inputs!$B$52,IF((2061-Inputs!$B$51-Inputs!$B$9)=1,Inputs!$B$157,IF((2061-Inputs!$B$51-Inputs!$B$9)=2,Inputs!$C$157,Inputs!$D$157*(1+Inputs!$B$159)^INT(((2061-Inputs!$B$51-Inputs!$B$9)-3)/3)))))*Inputs!$B$8</f>
        <v>152.170994986023</v>
      </c>
      <c r="AN28" s="21" t="n">
        <f aca="false">IF((2062-Inputs!$B$51-Inputs!$B$9)&lt;0,0,IF((2062-Inputs!$B$51-Inputs!$B$9)=0,Inputs!$B$157*Inputs!$B$52,IF((2062-Inputs!$B$51-Inputs!$B$9)=1,Inputs!$B$157,IF((2062-Inputs!$B$51-Inputs!$B$9)=2,Inputs!$C$157,Inputs!$D$157*(1+Inputs!$B$159)^INT(((2062-Inputs!$B$51-Inputs!$B$9)-3)/3)))))*Inputs!$B$8</f>
        <v>152.170994986023</v>
      </c>
      <c r="AO28" s="21" t="n">
        <f aca="false">IF((2063-Inputs!$B$51-Inputs!$B$9)&lt;0,0,IF((2063-Inputs!$B$51-Inputs!$B$9)=0,Inputs!$B$157*Inputs!$B$52,IF((2063-Inputs!$B$51-Inputs!$B$9)=1,Inputs!$B$157,IF((2063-Inputs!$B$51-Inputs!$B$9)=2,Inputs!$C$157,Inputs!$D$157*(1+Inputs!$B$159)^INT(((2063-Inputs!$B$51-Inputs!$B$9)-3)/3)))))*Inputs!$B$8</f>
        <v>152.170994986023</v>
      </c>
      <c r="AP28" s="21" t="n">
        <f aca="false">IF((2064-Inputs!$B$51-Inputs!$B$9)&lt;0,0,IF((2064-Inputs!$B$51-Inputs!$B$9)=0,Inputs!$B$157*Inputs!$B$52,IF((2064-Inputs!$B$51-Inputs!$B$9)=1,Inputs!$B$157,IF((2064-Inputs!$B$51-Inputs!$B$9)=2,Inputs!$C$157,Inputs!$D$157*(1+Inputs!$B$159)^INT(((2064-Inputs!$B$51-Inputs!$B$9)-3)/3)))))*Inputs!$B$8</f>
        <v>167.388094484626</v>
      </c>
      <c r="AQ28" s="21" t="n">
        <f aca="false">IF((2065-Inputs!$B$51-Inputs!$B$9)&lt;0,0,IF((2065-Inputs!$B$51-Inputs!$B$9)=0,Inputs!$B$157*Inputs!$B$52,IF((2065-Inputs!$B$51-Inputs!$B$9)=1,Inputs!$B$157,IF((2065-Inputs!$B$51-Inputs!$B$9)=2,Inputs!$C$157,Inputs!$D$157*(1+Inputs!$B$159)^INT(((2065-Inputs!$B$51-Inputs!$B$9)-3)/3)))))*Inputs!$B$8</f>
        <v>167.388094484626</v>
      </c>
      <c r="AR28" s="21" t="n">
        <f aca="false">IF((2066-Inputs!$B$51-Inputs!$B$9)&lt;0,0,IF((2066-Inputs!$B$51-Inputs!$B$9)=0,Inputs!$B$157*Inputs!$B$52,IF((2066-Inputs!$B$51-Inputs!$B$9)=1,Inputs!$B$157,IF((2066-Inputs!$B$51-Inputs!$B$9)=2,Inputs!$C$157,Inputs!$D$157*(1+Inputs!$B$159)^INT(((2066-Inputs!$B$51-Inputs!$B$9)-3)/3)))))*Inputs!$B$8</f>
        <v>167.388094484626</v>
      </c>
      <c r="AS28" s="21" t="n">
        <f aca="false">IF((2067-Inputs!$B$51-Inputs!$B$9)&lt;0,0,IF((2067-Inputs!$B$51-Inputs!$B$9)=0,Inputs!$B$157*Inputs!$B$52,IF((2067-Inputs!$B$51-Inputs!$B$9)=1,Inputs!$B$157,IF((2067-Inputs!$B$51-Inputs!$B$9)=2,Inputs!$C$157,Inputs!$D$157*(1+Inputs!$B$159)^INT(((2067-Inputs!$B$51-Inputs!$B$9)-3)/3)))))*Inputs!$B$8</f>
        <v>184.126903933088</v>
      </c>
      <c r="AT28" s="21" t="n">
        <f aca="false">IF((2068-Inputs!$B$51-Inputs!$B$9)&lt;0,0,IF((2068-Inputs!$B$51-Inputs!$B$9)=0,Inputs!$B$157*Inputs!$B$52,IF((2068-Inputs!$B$51-Inputs!$B$9)=1,Inputs!$B$157,IF((2068-Inputs!$B$51-Inputs!$B$9)=2,Inputs!$C$157,Inputs!$D$157*(1+Inputs!$B$159)^INT(((2068-Inputs!$B$51-Inputs!$B$9)-3)/3)))))*Inputs!$B$8</f>
        <v>184.126903933088</v>
      </c>
      <c r="AU28" s="21" t="n">
        <f aca="false">IF((2069-Inputs!$B$51-Inputs!$B$9)&lt;0,0,IF((2069-Inputs!$B$51-Inputs!$B$9)=0,Inputs!$B$157*Inputs!$B$52,IF((2069-Inputs!$B$51-Inputs!$B$9)=1,Inputs!$B$157,IF((2069-Inputs!$B$51-Inputs!$B$9)=2,Inputs!$C$157,Inputs!$D$157*(1+Inputs!$B$159)^INT(((2069-Inputs!$B$51-Inputs!$B$9)-3)/3)))))*Inputs!$B$8</f>
        <v>184.126903933088</v>
      </c>
      <c r="AV28" s="21" t="n">
        <f aca="false">IF((2070-Inputs!$B$51-Inputs!$B$9)&lt;0,0,IF((2070-Inputs!$B$51-Inputs!$B$9)=0,Inputs!$B$157*Inputs!$B$52,IF((2070-Inputs!$B$51-Inputs!$B$9)=1,Inputs!$B$157,IF((2070-Inputs!$B$51-Inputs!$B$9)=2,Inputs!$C$157,Inputs!$D$157*(1+Inputs!$B$159)^INT(((2070-Inputs!$B$51-Inputs!$B$9)-3)/3)))))*Inputs!$B$8</f>
        <v>202.539594326397</v>
      </c>
      <c r="AW28" s="21" t="n">
        <f aca="false">IF((2071-Inputs!$B$51-Inputs!$B$9)&lt;0,0,IF((2071-Inputs!$B$51-Inputs!$B$9)=0,Inputs!$B$157*Inputs!$B$52,IF((2071-Inputs!$B$51-Inputs!$B$9)=1,Inputs!$B$157,IF((2071-Inputs!$B$51-Inputs!$B$9)=2,Inputs!$C$157,Inputs!$D$157*(1+Inputs!$B$159)^INT(((2071-Inputs!$B$51-Inputs!$B$9)-3)/3)))))*Inputs!$B$8</f>
        <v>202.539594326397</v>
      </c>
      <c r="AX28" s="21" t="n">
        <f aca="false">IF((2072-Inputs!$B$51-Inputs!$B$9)&lt;0,0,IF((2072-Inputs!$B$51-Inputs!$B$9)=0,Inputs!$B$157*Inputs!$B$52,IF((2072-Inputs!$B$51-Inputs!$B$9)=1,Inputs!$B$157,IF((2072-Inputs!$B$51-Inputs!$B$9)=2,Inputs!$C$157,Inputs!$D$157*(1+Inputs!$B$159)^INT(((2072-Inputs!$B$51-Inputs!$B$9)-3)/3)))))*Inputs!$B$8</f>
        <v>202.539594326397</v>
      </c>
      <c r="AY28" s="21" t="n">
        <f aca="false">IF((2073-Inputs!$B$51-Inputs!$B$9)&lt;0,0,IF((2073-Inputs!$B$51-Inputs!$B$9)=0,Inputs!$B$157*Inputs!$B$52,IF((2073-Inputs!$B$51-Inputs!$B$9)=1,Inputs!$B$157,IF((2073-Inputs!$B$51-Inputs!$B$9)=2,Inputs!$C$157,Inputs!$D$157*(1+Inputs!$B$159)^INT(((2073-Inputs!$B$51-Inputs!$B$9)-3)/3)))))*Inputs!$B$8</f>
        <v>222.793553759037</v>
      </c>
      <c r="AZ28" s="21" t="n">
        <f aca="false">IF((2074-Inputs!$B$51-Inputs!$B$9)&lt;0,0,IF((2074-Inputs!$B$51-Inputs!$B$9)=0,Inputs!$B$157*Inputs!$B$52,IF((2074-Inputs!$B$51-Inputs!$B$9)=1,Inputs!$B$157,IF((2074-Inputs!$B$51-Inputs!$B$9)=2,Inputs!$C$157,Inputs!$D$157*(1+Inputs!$B$159)^INT(((2074-Inputs!$B$51-Inputs!$B$9)-3)/3)))))*Inputs!$B$8</f>
        <v>222.793553759037</v>
      </c>
    </row>
    <row r="29" customFormat="false" ht="15" hidden="false" customHeight="true" outlineLevel="0" collapsed="false">
      <c r="A29" s="13" t="s">
        <v>421</v>
      </c>
      <c r="B29" s="2"/>
      <c r="C29" s="41" t="n">
        <f aca="false">SUM(D29:AZ29)</f>
        <v>-824.905841331641</v>
      </c>
      <c r="D29" s="41" t="n">
        <f aca="false">-IF((2026-Inputs!$B$51-Inputs!$B$9)&lt;0,0,IF((2026-Inputs!$B$51-Inputs!$B$9)=0,Inputs!$B$165,1)*Inputs!$B$160*(1+Inputs!$B$166)^(2026-2029-Inputs!$B$9))</f>
        <v>-0</v>
      </c>
      <c r="E29" s="41" t="n">
        <f aca="false">-IF((2027-Inputs!$B$51-Inputs!$B$9)&lt;0,0,IF((2027-Inputs!$B$51-Inputs!$B$9)=0,Inputs!$B$165,1)*Inputs!$B$160*(1+Inputs!$B$166)^(2027-2029-Inputs!$B$9))</f>
        <v>-0</v>
      </c>
      <c r="F29" s="41" t="n">
        <f aca="false">-IF((2028-Inputs!$B$51-Inputs!$B$9)&lt;0,0,IF((2028-Inputs!$B$51-Inputs!$B$9)=0,Inputs!$B$165,1)*Inputs!$B$160*(1+Inputs!$B$166)^(2028-2029-Inputs!$B$9))</f>
        <v>-4.73170731707317</v>
      </c>
      <c r="G29" s="41" t="n">
        <f aca="false">-IF((2029-Inputs!$B$51-Inputs!$B$9)&lt;0,0,IF((2029-Inputs!$B$51-Inputs!$B$9)=0,Inputs!$B$165,1)*Inputs!$B$160*(1+Inputs!$B$166)^(2029-2029-Inputs!$B$9))</f>
        <v>-9.7</v>
      </c>
      <c r="H29" s="41" t="n">
        <f aca="false">-IF((2030-Inputs!$B$51-Inputs!$B$9)&lt;0,0,IF((2030-Inputs!$B$51-Inputs!$B$9)=0,Inputs!$B$165,1)*Inputs!$B$160*(1+Inputs!$B$166)^(2030-2029-Inputs!$B$9))</f>
        <v>-9.9425</v>
      </c>
      <c r="I29" s="41" t="n">
        <f aca="false">-IF((2031-Inputs!$B$51-Inputs!$B$9)&lt;0,0,IF((2031-Inputs!$B$51-Inputs!$B$9)=0,Inputs!$B$165,1)*Inputs!$B$160*(1+Inputs!$B$166)^(2031-2029-Inputs!$B$9))</f>
        <v>-10.1910625</v>
      </c>
      <c r="J29" s="41" t="n">
        <f aca="false">-IF((2032-Inputs!$B$51-Inputs!$B$9)&lt;0,0,IF((2032-Inputs!$B$51-Inputs!$B$9)=0,Inputs!$B$165,1)*Inputs!$B$160*(1+Inputs!$B$166)^(2032-2029-Inputs!$B$9))</f>
        <v>-10.4458390625</v>
      </c>
      <c r="K29" s="41" t="n">
        <f aca="false">-IF((2033-Inputs!$B$51-Inputs!$B$9)&lt;0,0,IF((2033-Inputs!$B$51-Inputs!$B$9)=0,Inputs!$B$165,1)*Inputs!$B$160*(1+Inputs!$B$166)^(2033-2029-Inputs!$B$9))</f>
        <v>-10.7069850390625</v>
      </c>
      <c r="L29" s="41" t="n">
        <f aca="false">-IF((2034-Inputs!$B$51-Inputs!$B$9)&lt;0,0,IF((2034-Inputs!$B$51-Inputs!$B$9)=0,Inputs!$B$165,1)*Inputs!$B$160*(1+Inputs!$B$166)^(2034-2029-Inputs!$B$9))</f>
        <v>-10.9746596650391</v>
      </c>
      <c r="M29" s="41" t="n">
        <f aca="false">-IF((2035-Inputs!$B$51-Inputs!$B$9)&lt;0,0,IF((2035-Inputs!$B$51-Inputs!$B$9)=0,Inputs!$B$165,1)*Inputs!$B$160*(1+Inputs!$B$166)^(2035-2029-Inputs!$B$9))</f>
        <v>-11.249026156665</v>
      </c>
      <c r="N29" s="41" t="n">
        <f aca="false">-IF((2036-Inputs!$B$51-Inputs!$B$9)&lt;0,0,IF((2036-Inputs!$B$51-Inputs!$B$9)=0,Inputs!$B$165,1)*Inputs!$B$160*(1+Inputs!$B$166)^(2036-2029-Inputs!$B$9))</f>
        <v>-11.5302518105817</v>
      </c>
      <c r="O29" s="41" t="n">
        <f aca="false">-IF((2037-Inputs!$B$51-Inputs!$B$9)&lt;0,0,IF((2037-Inputs!$B$51-Inputs!$B$9)=0,Inputs!$B$165,1)*Inputs!$B$160*(1+Inputs!$B$166)^(2037-2029-Inputs!$B$9))</f>
        <v>-11.8185081058462</v>
      </c>
      <c r="P29" s="41" t="n">
        <f aca="false">-IF((2038-Inputs!$B$51-Inputs!$B$9)&lt;0,0,IF((2038-Inputs!$B$51-Inputs!$B$9)=0,Inputs!$B$165,1)*Inputs!$B$160*(1+Inputs!$B$166)^(2038-2029-Inputs!$B$9))</f>
        <v>-12.1139708084924</v>
      </c>
      <c r="Q29" s="41" t="n">
        <f aca="false">-IF((2039-Inputs!$B$51-Inputs!$B$9)&lt;0,0,IF((2039-Inputs!$B$51-Inputs!$B$9)=0,Inputs!$B$165,1)*Inputs!$B$160*(1+Inputs!$B$166)^(2039-2029-Inputs!$B$9))</f>
        <v>-12.4168200787047</v>
      </c>
      <c r="R29" s="41" t="n">
        <f aca="false">-IF((2040-Inputs!$B$51-Inputs!$B$9)&lt;0,0,IF((2040-Inputs!$B$51-Inputs!$B$9)=0,Inputs!$B$165,1)*Inputs!$B$160*(1+Inputs!$B$166)^(2040-2029-Inputs!$B$9))</f>
        <v>-12.7272405806723</v>
      </c>
      <c r="S29" s="41" t="n">
        <f aca="false">-IF((2041-Inputs!$B$51-Inputs!$B$9)&lt;0,0,IF((2041-Inputs!$B$51-Inputs!$B$9)=0,Inputs!$B$165,1)*Inputs!$B$160*(1+Inputs!$B$166)^(2041-2029-Inputs!$B$9))</f>
        <v>-13.0454215951891</v>
      </c>
      <c r="T29" s="41" t="n">
        <f aca="false">-IF((2042-Inputs!$B$51-Inputs!$B$9)&lt;0,0,IF((2042-Inputs!$B$51-Inputs!$B$9)=0,Inputs!$B$165,1)*Inputs!$B$160*(1+Inputs!$B$166)^(2042-2029-Inputs!$B$9))</f>
        <v>-13.3715571350688</v>
      </c>
      <c r="U29" s="41" t="n">
        <f aca="false">-IF((2043-Inputs!$B$51-Inputs!$B$9)&lt;0,0,IF((2043-Inputs!$B$51-Inputs!$B$9)=0,Inputs!$B$165,1)*Inputs!$B$160*(1+Inputs!$B$166)^(2043-2029-Inputs!$B$9))</f>
        <v>-13.7058460634455</v>
      </c>
      <c r="V29" s="41" t="n">
        <f aca="false">-IF((2044-Inputs!$B$51-Inputs!$B$9)&lt;0,0,IF((2044-Inputs!$B$51-Inputs!$B$9)=0,Inputs!$B$165,1)*Inputs!$B$160*(1+Inputs!$B$166)^(2044-2029-Inputs!$B$9))</f>
        <v>-14.0484922150317</v>
      </c>
      <c r="W29" s="41" t="n">
        <f aca="false">-IF((2045-Inputs!$B$51-Inputs!$B$9)&lt;0,0,IF((2045-Inputs!$B$51-Inputs!$B$9)=0,Inputs!$B$165,1)*Inputs!$B$160*(1+Inputs!$B$166)^(2045-2029-Inputs!$B$9))</f>
        <v>-14.3997045204075</v>
      </c>
      <c r="X29" s="41" t="n">
        <f aca="false">-IF((2046-Inputs!$B$51-Inputs!$B$9)&lt;0,0,IF((2046-Inputs!$B$51-Inputs!$B$9)=0,Inputs!$B$165,1)*Inputs!$B$160*(1+Inputs!$B$166)^(2046-2029-Inputs!$B$9))</f>
        <v>-14.7596971334176</v>
      </c>
      <c r="Y29" s="41" t="n">
        <f aca="false">-IF((2047-Inputs!$B$51-Inputs!$B$9)&lt;0,0,IF((2047-Inputs!$B$51-Inputs!$B$9)=0,Inputs!$B$165,1)*Inputs!$B$160*(1+Inputs!$B$166)^(2047-2029-Inputs!$B$9))</f>
        <v>-15.1286895617531</v>
      </c>
      <c r="Z29" s="41" t="n">
        <f aca="false">-IF((2048-Inputs!$B$51-Inputs!$B$9)&lt;0,0,IF((2048-Inputs!$B$51-Inputs!$B$9)=0,Inputs!$B$165,1)*Inputs!$B$160*(1+Inputs!$B$166)^(2048-2029-Inputs!$B$9))</f>
        <v>-15.5069068007969</v>
      </c>
      <c r="AA29" s="41" t="n">
        <f aca="false">-IF((2049-Inputs!$B$51-Inputs!$B$9)&lt;0,0,IF((2049-Inputs!$B$51-Inputs!$B$9)=0,Inputs!$B$165,1)*Inputs!$B$160*(1+Inputs!$B$166)^(2049-2029-Inputs!$B$9))</f>
        <v>-15.8945794708168</v>
      </c>
      <c r="AB29" s="41" t="n">
        <f aca="false">-IF((2050-Inputs!$B$51-Inputs!$B$9)&lt;0,0,IF((2050-Inputs!$B$51-Inputs!$B$9)=0,Inputs!$B$165,1)*Inputs!$B$160*(1+Inputs!$B$166)^(2050-2029-Inputs!$B$9))</f>
        <v>-16.2919439575872</v>
      </c>
      <c r="AC29" s="41" t="n">
        <f aca="false">-IF((2051-Inputs!$B$51-Inputs!$B$9)&lt;0,0,IF((2051-Inputs!$B$51-Inputs!$B$9)=0,Inputs!$B$165,1)*Inputs!$B$160*(1+Inputs!$B$166)^(2051-2029-Inputs!$B$9))</f>
        <v>-16.6992425565269</v>
      </c>
      <c r="AD29" s="41" t="n">
        <f aca="false">-IF((2052-Inputs!$B$51-Inputs!$B$9)&lt;0,0,IF((2052-Inputs!$B$51-Inputs!$B$9)=0,Inputs!$B$165,1)*Inputs!$B$160*(1+Inputs!$B$166)^(2052-2029-Inputs!$B$9))</f>
        <v>-17.1167236204401</v>
      </c>
      <c r="AE29" s="41" t="n">
        <f aca="false">-IF((2053-Inputs!$B$51-Inputs!$B$9)&lt;0,0,IF((2053-Inputs!$B$51-Inputs!$B$9)=0,Inputs!$B$165,1)*Inputs!$B$160*(1+Inputs!$B$166)^(2053-2029-Inputs!$B$9))</f>
        <v>-17.5446417109511</v>
      </c>
      <c r="AF29" s="41" t="n">
        <f aca="false">-IF((2054-Inputs!$B$51-Inputs!$B$9)&lt;0,0,IF((2054-Inputs!$B$51-Inputs!$B$9)=0,Inputs!$B$165,1)*Inputs!$B$160*(1+Inputs!$B$166)^(2054-2029-Inputs!$B$9))</f>
        <v>-17.9832577537249</v>
      </c>
      <c r="AG29" s="41" t="n">
        <f aca="false">-IF((2055-Inputs!$B$51-Inputs!$B$9)&lt;0,0,IF((2055-Inputs!$B$51-Inputs!$B$9)=0,Inputs!$B$165,1)*Inputs!$B$160*(1+Inputs!$B$166)^(2055-2029-Inputs!$B$9))</f>
        <v>-18.432839197568</v>
      </c>
      <c r="AH29" s="41" t="n">
        <f aca="false">-IF((2056-Inputs!$B$51-Inputs!$B$9)&lt;0,0,IF((2056-Inputs!$B$51-Inputs!$B$9)=0,Inputs!$B$165,1)*Inputs!$B$160*(1+Inputs!$B$166)^(2056-2029-Inputs!$B$9))</f>
        <v>-18.8936601775072</v>
      </c>
      <c r="AI29" s="41" t="n">
        <f aca="false">-IF((2057-Inputs!$B$51-Inputs!$B$9)&lt;0,0,IF((2057-Inputs!$B$51-Inputs!$B$9)=0,Inputs!$B$165,1)*Inputs!$B$160*(1+Inputs!$B$166)^(2057-2029-Inputs!$B$9))</f>
        <v>-19.3660016819449</v>
      </c>
      <c r="AJ29" s="41" t="n">
        <f aca="false">-IF((2058-Inputs!$B$51-Inputs!$B$9)&lt;0,0,IF((2058-Inputs!$B$51-Inputs!$B$9)=0,Inputs!$B$165,1)*Inputs!$B$160*(1+Inputs!$B$166)^(2058-2029-Inputs!$B$9))</f>
        <v>-19.8501517239935</v>
      </c>
      <c r="AK29" s="41" t="n">
        <f aca="false">-IF((2059-Inputs!$B$51-Inputs!$B$9)&lt;0,0,IF((2059-Inputs!$B$51-Inputs!$B$9)=0,Inputs!$B$165,1)*Inputs!$B$160*(1+Inputs!$B$166)^(2059-2029-Inputs!$B$9))</f>
        <v>-20.3464055170933</v>
      </c>
      <c r="AL29" s="41" t="n">
        <f aca="false">-IF((2060-Inputs!$B$51-Inputs!$B$9)&lt;0,0,IF((2060-Inputs!$B$51-Inputs!$B$9)=0,Inputs!$B$165,1)*Inputs!$B$160*(1+Inputs!$B$166)^(2060-2029-Inputs!$B$9))</f>
        <v>-20.8550656550207</v>
      </c>
      <c r="AM29" s="41" t="n">
        <f aca="false">-IF((2061-Inputs!$B$51-Inputs!$B$9)&lt;0,0,IF((2061-Inputs!$B$51-Inputs!$B$9)=0,Inputs!$B$165,1)*Inputs!$B$160*(1+Inputs!$B$166)^(2061-2029-Inputs!$B$9))</f>
        <v>-21.3764422963962</v>
      </c>
      <c r="AN29" s="41" t="n">
        <f aca="false">-IF((2062-Inputs!$B$51-Inputs!$B$9)&lt;0,0,IF((2062-Inputs!$B$51-Inputs!$B$9)=0,Inputs!$B$165,1)*Inputs!$B$160*(1+Inputs!$B$166)^(2062-2029-Inputs!$B$9))</f>
        <v>-21.9108533538061</v>
      </c>
      <c r="AO29" s="41" t="n">
        <f aca="false">-IF((2063-Inputs!$B$51-Inputs!$B$9)&lt;0,0,IF((2063-Inputs!$B$51-Inputs!$B$9)=0,Inputs!$B$165,1)*Inputs!$B$160*(1+Inputs!$B$166)^(2063-2029-Inputs!$B$9))</f>
        <v>-22.4586246876512</v>
      </c>
      <c r="AP29" s="41" t="n">
        <f aca="false">-IF((2064-Inputs!$B$51-Inputs!$B$9)&lt;0,0,IF((2064-Inputs!$B$51-Inputs!$B$9)=0,Inputs!$B$165,1)*Inputs!$B$160*(1+Inputs!$B$166)^(2064-2029-Inputs!$B$9))</f>
        <v>-23.0200903048425</v>
      </c>
      <c r="AQ29" s="41" t="n">
        <f aca="false">-IF((2065-Inputs!$B$51-Inputs!$B$9)&lt;0,0,IF((2065-Inputs!$B$51-Inputs!$B$9)=0,Inputs!$B$165,1)*Inputs!$B$160*(1+Inputs!$B$166)^(2065-2029-Inputs!$B$9))</f>
        <v>-23.5955925624636</v>
      </c>
      <c r="AR29" s="41" t="n">
        <f aca="false">-IF((2066-Inputs!$B$51-Inputs!$B$9)&lt;0,0,IF((2066-Inputs!$B$51-Inputs!$B$9)=0,Inputs!$B$165,1)*Inputs!$B$160*(1+Inputs!$B$166)^(2066-2029-Inputs!$B$9))</f>
        <v>-24.1854823765251</v>
      </c>
      <c r="AS29" s="41" t="n">
        <f aca="false">-IF((2067-Inputs!$B$51-Inputs!$B$9)&lt;0,0,IF((2067-Inputs!$B$51-Inputs!$B$9)=0,Inputs!$B$165,1)*Inputs!$B$160*(1+Inputs!$B$166)^(2067-2029-Inputs!$B$9))</f>
        <v>-24.7901194359383</v>
      </c>
      <c r="AT29" s="41" t="n">
        <f aca="false">-IF((2068-Inputs!$B$51-Inputs!$B$9)&lt;0,0,IF((2068-Inputs!$B$51-Inputs!$B$9)=0,Inputs!$B$165,1)*Inputs!$B$160*(1+Inputs!$B$166)^(2068-2029-Inputs!$B$9))</f>
        <v>-25.4098724218367</v>
      </c>
      <c r="AU29" s="41" t="n">
        <f aca="false">-IF((2069-Inputs!$B$51-Inputs!$B$9)&lt;0,0,IF((2069-Inputs!$B$51-Inputs!$B$9)=0,Inputs!$B$165,1)*Inputs!$B$160*(1+Inputs!$B$166)^(2069-2029-Inputs!$B$9))</f>
        <v>-26.0451192323826</v>
      </c>
      <c r="AV29" s="41" t="n">
        <f aca="false">-IF((2070-Inputs!$B$51-Inputs!$B$9)&lt;0,0,IF((2070-Inputs!$B$51-Inputs!$B$9)=0,Inputs!$B$165,1)*Inputs!$B$160*(1+Inputs!$B$166)^(2070-2029-Inputs!$B$9))</f>
        <v>-26.6962472131922</v>
      </c>
      <c r="AW29" s="41" t="n">
        <f aca="false">-IF((2071-Inputs!$B$51-Inputs!$B$9)&lt;0,0,IF((2071-Inputs!$B$51-Inputs!$B$9)=0,Inputs!$B$165,1)*Inputs!$B$160*(1+Inputs!$B$166)^(2071-2029-Inputs!$B$9))</f>
        <v>-27.363653393522</v>
      </c>
      <c r="AX29" s="41" t="n">
        <f aca="false">-IF((2072-Inputs!$B$51-Inputs!$B$9)&lt;0,0,IF((2072-Inputs!$B$51-Inputs!$B$9)=0,Inputs!$B$165,1)*Inputs!$B$160*(1+Inputs!$B$166)^(2072-2029-Inputs!$B$9))</f>
        <v>-28.0477447283601</v>
      </c>
      <c r="AY29" s="41" t="n">
        <f aca="false">-IF((2073-Inputs!$B$51-Inputs!$B$9)&lt;0,0,IF((2073-Inputs!$B$51-Inputs!$B$9)=0,Inputs!$B$165,1)*Inputs!$B$160*(1+Inputs!$B$166)^(2073-2029-Inputs!$B$9))</f>
        <v>-28.7489383465691</v>
      </c>
      <c r="AZ29" s="41" t="n">
        <f aca="false">-IF((2074-Inputs!$B$51-Inputs!$B$9)&lt;0,0,IF((2074-Inputs!$B$51-Inputs!$B$9)=0,Inputs!$B$165,1)*Inputs!$B$160*(1+Inputs!$B$166)^(2074-2029-Inputs!$B$9))</f>
        <v>-29.4676618052333</v>
      </c>
    </row>
    <row r="30" customFormat="false" ht="15" hidden="false" customHeight="true" outlineLevel="0" collapsed="false">
      <c r="A30" s="13" t="s">
        <v>422</v>
      </c>
      <c r="B30" s="2"/>
      <c r="C30" s="41" t="n">
        <f aca="false">SUM(D30:AZ30)</f>
        <v>-171.014012757756</v>
      </c>
      <c r="D30" s="41" t="n">
        <f aca="false">-D28*Inputs!$B$161</f>
        <v>-0</v>
      </c>
      <c r="E30" s="41" t="n">
        <f aca="false">-E28*Inputs!$B$161</f>
        <v>-0</v>
      </c>
      <c r="F30" s="41" t="n">
        <f aca="false">-F28*Inputs!$B$161</f>
        <v>-0.289050543288268</v>
      </c>
      <c r="G30" s="41" t="n">
        <f aca="false">-G28*Inputs!$B$161</f>
        <v>-1.15620217315307</v>
      </c>
      <c r="H30" s="41" t="n">
        <f aca="false">-H28*Inputs!$B$161</f>
        <v>-1.50846369521597</v>
      </c>
      <c r="I30" s="41" t="n">
        <f aca="false">-I28*Inputs!$B$161</f>
        <v>-1.83632423663177</v>
      </c>
      <c r="J30" s="41" t="n">
        <f aca="false">-J28*Inputs!$B$161</f>
        <v>-1.83632423663177</v>
      </c>
      <c r="K30" s="41" t="n">
        <f aca="false">-K28*Inputs!$B$161</f>
        <v>-1.83632423663177</v>
      </c>
      <c r="L30" s="41" t="n">
        <f aca="false">-L28*Inputs!$B$161</f>
        <v>-2.01995666029494</v>
      </c>
      <c r="M30" s="41" t="n">
        <f aca="false">-M28*Inputs!$B$161</f>
        <v>-2.01995666029494</v>
      </c>
      <c r="N30" s="41" t="n">
        <f aca="false">-N28*Inputs!$B$161</f>
        <v>-2.01995666029494</v>
      </c>
      <c r="O30" s="41" t="n">
        <f aca="false">-O28*Inputs!$B$161</f>
        <v>-2.22195232632444</v>
      </c>
      <c r="P30" s="41" t="n">
        <f aca="false">-P28*Inputs!$B$161</f>
        <v>-2.22195232632444</v>
      </c>
      <c r="Q30" s="41" t="n">
        <f aca="false">-Q28*Inputs!$B$161</f>
        <v>-2.22195232632444</v>
      </c>
      <c r="R30" s="41" t="n">
        <f aca="false">-R28*Inputs!$B$161</f>
        <v>-2.44414755895688</v>
      </c>
      <c r="S30" s="41" t="n">
        <f aca="false">-S28*Inputs!$B$161</f>
        <v>-2.44414755895688</v>
      </c>
      <c r="T30" s="41" t="n">
        <f aca="false">-T28*Inputs!$B$161</f>
        <v>-2.44414755895688</v>
      </c>
      <c r="U30" s="41" t="n">
        <f aca="false">-U28*Inputs!$B$161</f>
        <v>-2.68856231485257</v>
      </c>
      <c r="V30" s="41" t="n">
        <f aca="false">-V28*Inputs!$B$161</f>
        <v>-2.68856231485257</v>
      </c>
      <c r="W30" s="41" t="n">
        <f aca="false">-W28*Inputs!$B$161</f>
        <v>-2.68856231485257</v>
      </c>
      <c r="X30" s="41" t="n">
        <f aca="false">-X28*Inputs!$B$161</f>
        <v>-2.95741854633783</v>
      </c>
      <c r="Y30" s="41" t="n">
        <f aca="false">-Y28*Inputs!$B$161</f>
        <v>-2.95741854633783</v>
      </c>
      <c r="Z30" s="41" t="n">
        <f aca="false">-Z28*Inputs!$B$161</f>
        <v>-2.95741854633783</v>
      </c>
      <c r="AA30" s="41" t="n">
        <f aca="false">-AA28*Inputs!$B$161</f>
        <v>-3.25316040097161</v>
      </c>
      <c r="AB30" s="41" t="n">
        <f aca="false">-AB28*Inputs!$B$161</f>
        <v>-3.25316040097161</v>
      </c>
      <c r="AC30" s="41" t="n">
        <f aca="false">-AC28*Inputs!$B$161</f>
        <v>-3.25316040097161</v>
      </c>
      <c r="AD30" s="41" t="n">
        <f aca="false">-AD28*Inputs!$B$161</f>
        <v>-3.57847644106877</v>
      </c>
      <c r="AE30" s="41" t="n">
        <f aca="false">-AE28*Inputs!$B$161</f>
        <v>-3.57847644106877</v>
      </c>
      <c r="AF30" s="41" t="n">
        <f aca="false">-AF28*Inputs!$B$161</f>
        <v>-3.57847644106877</v>
      </c>
      <c r="AG30" s="41" t="n">
        <f aca="false">-AG28*Inputs!$B$161</f>
        <v>-3.93632408517565</v>
      </c>
      <c r="AH30" s="41" t="n">
        <f aca="false">-AH28*Inputs!$B$161</f>
        <v>-3.93632408517565</v>
      </c>
      <c r="AI30" s="41" t="n">
        <f aca="false">-AI28*Inputs!$B$161</f>
        <v>-3.93632408517565</v>
      </c>
      <c r="AJ30" s="41" t="n">
        <f aca="false">-AJ28*Inputs!$B$161</f>
        <v>-4.32995649369321</v>
      </c>
      <c r="AK30" s="41" t="n">
        <f aca="false">-AK28*Inputs!$B$161</f>
        <v>-4.32995649369321</v>
      </c>
      <c r="AL30" s="41" t="n">
        <f aca="false">-AL28*Inputs!$B$161</f>
        <v>-4.32995649369321</v>
      </c>
      <c r="AM30" s="41" t="n">
        <f aca="false">-AM28*Inputs!$B$161</f>
        <v>-4.76295214306253</v>
      </c>
      <c r="AN30" s="41" t="n">
        <f aca="false">-AN28*Inputs!$B$161</f>
        <v>-4.76295214306253</v>
      </c>
      <c r="AO30" s="41" t="n">
        <f aca="false">-AO28*Inputs!$B$161</f>
        <v>-4.76295214306253</v>
      </c>
      <c r="AP30" s="41" t="n">
        <f aca="false">-AP28*Inputs!$B$161</f>
        <v>-5.23924735736879</v>
      </c>
      <c r="AQ30" s="41" t="n">
        <f aca="false">-AQ28*Inputs!$B$161</f>
        <v>-5.23924735736879</v>
      </c>
      <c r="AR30" s="41" t="n">
        <f aca="false">-AR28*Inputs!$B$161</f>
        <v>-5.23924735736879</v>
      </c>
      <c r="AS30" s="41" t="n">
        <f aca="false">-AS28*Inputs!$B$161</f>
        <v>-5.76317209310567</v>
      </c>
      <c r="AT30" s="41" t="n">
        <f aca="false">-AT28*Inputs!$B$161</f>
        <v>-5.76317209310567</v>
      </c>
      <c r="AU30" s="41" t="n">
        <f aca="false">-AU28*Inputs!$B$161</f>
        <v>-5.76317209310567</v>
      </c>
      <c r="AV30" s="41" t="n">
        <f aca="false">-AV28*Inputs!$B$161</f>
        <v>-6.33948930241623</v>
      </c>
      <c r="AW30" s="41" t="n">
        <f aca="false">-AW28*Inputs!$B$161</f>
        <v>-6.33948930241623</v>
      </c>
      <c r="AX30" s="41" t="n">
        <f aca="false">-AX28*Inputs!$B$161</f>
        <v>-6.33948930241623</v>
      </c>
      <c r="AY30" s="41" t="n">
        <f aca="false">-AY28*Inputs!$B$161</f>
        <v>-6.97343823265786</v>
      </c>
      <c r="AZ30" s="41" t="n">
        <f aca="false">-AZ28*Inputs!$B$161</f>
        <v>-6.97343823265786</v>
      </c>
    </row>
    <row r="31" customFormat="false" ht="15" hidden="false" customHeight="true" outlineLevel="0" collapsed="false">
      <c r="A31" s="6" t="s">
        <v>423</v>
      </c>
      <c r="B31" s="2"/>
      <c r="C31" s="44" t="n">
        <f aca="false">SUM(D31:AZ31)</f>
        <v>4467.78662379417</v>
      </c>
      <c r="D31" s="44" t="n">
        <f aca="false">SUM(D28:D30)</f>
        <v>0</v>
      </c>
      <c r="E31" s="44" t="n">
        <f aca="false">SUM(E28:E30)</f>
        <v>0</v>
      </c>
      <c r="F31" s="44" t="n">
        <f aca="false">SUM(F28:F30)</f>
        <v>4.21408377824137</v>
      </c>
      <c r="G31" s="44" t="n">
        <f aca="false">SUM(G28:G30)</f>
        <v>26.0831643812582</v>
      </c>
      <c r="H31" s="44" t="n">
        <f aca="false">SUM(H28:H30)</f>
        <v>36.7427645864444</v>
      </c>
      <c r="I31" s="44" t="n">
        <f aca="false">SUM(I28:I30)</f>
        <v>46.6411192260444</v>
      </c>
      <c r="J31" s="44" t="n">
        <f aca="false">SUM(J28:J30)</f>
        <v>46.3863426635444</v>
      </c>
      <c r="K31" s="44" t="n">
        <f aca="false">SUM(K28:K30)</f>
        <v>46.1251966869819</v>
      </c>
      <c r="L31" s="44" t="n">
        <f aca="false">SUM(L28:L30)</f>
        <v>51.5407402336098</v>
      </c>
      <c r="M31" s="44" t="n">
        <f aca="false">SUM(M28:M30)</f>
        <v>51.2663737419839</v>
      </c>
      <c r="N31" s="44" t="n">
        <f aca="false">SUM(N28:N30)</f>
        <v>50.9851480880672</v>
      </c>
      <c r="O31" s="44" t="n">
        <f aca="false">SUM(O28:O30)</f>
        <v>56.9484317826676</v>
      </c>
      <c r="P31" s="44" t="n">
        <f aca="false">SUM(P28:P30)</f>
        <v>56.6529690800214</v>
      </c>
      <c r="Q31" s="44" t="n">
        <f aca="false">SUM(Q28:Q30)</f>
        <v>56.3501198098091</v>
      </c>
      <c r="R31" s="44" t="n">
        <f aca="false">SUM(R28:R30)</f>
        <v>62.9163932966929</v>
      </c>
      <c r="S31" s="44" t="n">
        <f aca="false">SUM(S28:S30)</f>
        <v>62.5982122821761</v>
      </c>
      <c r="T31" s="44" t="n">
        <f aca="false">SUM(T28:T30)</f>
        <v>62.2720767422964</v>
      </c>
      <c r="U31" s="44" t="n">
        <f aca="false">SUM(U28:U30)</f>
        <v>69.5021512016562</v>
      </c>
      <c r="V31" s="44" t="n">
        <f aca="false">SUM(V28:V30)</f>
        <v>69.15950505007</v>
      </c>
      <c r="W31" s="44" t="n">
        <f aca="false">SUM(W28:W30)</f>
        <v>68.8082927446942</v>
      </c>
      <c r="X31" s="44" t="n">
        <f aca="false">SUM(X28:X30)</f>
        <v>76.7690998581942</v>
      </c>
      <c r="Y31" s="44" t="n">
        <f aca="false">SUM(Y28:Y30)</f>
        <v>76.4001074298588</v>
      </c>
      <c r="Z31" s="44" t="n">
        <f aca="false">SUM(Z28:Z30)</f>
        <v>76.021890190815</v>
      </c>
      <c r="AA31" s="44" t="n">
        <f aca="false">SUM(AA28:AA30)</f>
        <v>84.7870972199562</v>
      </c>
      <c r="AB31" s="44" t="n">
        <f aca="false">SUM(AB28:AB30)</f>
        <v>84.3897327331858</v>
      </c>
      <c r="AC31" s="44" t="n">
        <f aca="false">SUM(AC28:AC30)</f>
        <v>83.9824341342461</v>
      </c>
      <c r="AD31" s="44" t="n">
        <f aca="false">SUM(AD28:AD30)</f>
        <v>93.6331207394103</v>
      </c>
      <c r="AE31" s="44" t="n">
        <f aca="false">SUM(AE28:AE30)</f>
        <v>93.2052026488993</v>
      </c>
      <c r="AF31" s="44" t="n">
        <f aca="false">SUM(AF28:AF30)</f>
        <v>92.7665866061255</v>
      </c>
      <c r="AG31" s="44" t="n">
        <f aca="false">SUM(AG28:AG30)</f>
        <v>103.391989598267</v>
      </c>
      <c r="AH31" s="44" t="n">
        <f aca="false">SUM(AH28:AH30)</f>
        <v>102.931168618328</v>
      </c>
      <c r="AI31" s="44" t="n">
        <f aca="false">SUM(AI28:AI30)</f>
        <v>102.458827113891</v>
      </c>
      <c r="AJ31" s="44" t="n">
        <f aca="false">SUM(AJ28:AJ30)</f>
        <v>114.157159951426</v>
      </c>
      <c r="AK31" s="44" t="n">
        <f aca="false">SUM(AK28:AK30)</f>
        <v>113.660906158326</v>
      </c>
      <c r="AL31" s="44" t="n">
        <f aca="false">SUM(AL28:AL30)</f>
        <v>113.152246020398</v>
      </c>
      <c r="AM31" s="44" t="n">
        <f aca="false">SUM(AM28:AM30)</f>
        <v>126.031600546565</v>
      </c>
      <c r="AN31" s="44" t="n">
        <f aca="false">SUM(AN28:AN30)</f>
        <v>125.497189489155</v>
      </c>
      <c r="AO31" s="44" t="n">
        <f aca="false">SUM(AO28:AO30)</f>
        <v>124.94941815531</v>
      </c>
      <c r="AP31" s="44" t="n">
        <f aca="false">SUM(AP28:AP30)</f>
        <v>139.128756822415</v>
      </c>
      <c r="AQ31" s="44" t="n">
        <f aca="false">SUM(AQ28:AQ30)</f>
        <v>138.553254564793</v>
      </c>
      <c r="AR31" s="44" t="n">
        <f aca="false">SUM(AR28:AR30)</f>
        <v>137.963364750732</v>
      </c>
      <c r="AS31" s="44" t="n">
        <f aca="false">SUM(AS28:AS30)</f>
        <v>153.573612404044</v>
      </c>
      <c r="AT31" s="44" t="n">
        <f aca="false">SUM(AT28:AT30)</f>
        <v>152.953859418146</v>
      </c>
      <c r="AU31" s="44" t="n">
        <f aca="false">SUM(AU28:AU30)</f>
        <v>152.3186126076</v>
      </c>
      <c r="AV31" s="44" t="n">
        <f aca="false">SUM(AV28:AV30)</f>
        <v>169.503857810789</v>
      </c>
      <c r="AW31" s="44" t="n">
        <f aca="false">SUM(AW28:AW30)</f>
        <v>168.836451630459</v>
      </c>
      <c r="AX31" s="44" t="n">
        <f aca="false">SUM(AX28:AX30)</f>
        <v>168.152360295621</v>
      </c>
      <c r="AY31" s="44" t="n">
        <f aca="false">SUM(AY28:AY30)</f>
        <v>187.07117717981</v>
      </c>
      <c r="AZ31" s="44" t="n">
        <f aca="false">SUM(AZ28:AZ30)</f>
        <v>186.352453721146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Z5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6"/>
    <col collapsed="false" customWidth="true" hidden="false" outlineLevel="0" max="2" min="2" style="1" width="26"/>
    <col collapsed="false" customWidth="true" hidden="false" outlineLevel="0" max="3" min="3" style="1" width="11"/>
    <col collapsed="false" customWidth="true" hidden="false" outlineLevel="0" max="52" min="4" style="1" width="9.52"/>
  </cols>
  <sheetData>
    <row r="1" customFormat="false" ht="17.25" hidden="false" customHeight="true" outlineLevel="0" collapsed="false">
      <c r="A1" s="8" t="s">
        <v>424</v>
      </c>
      <c r="B1" s="9"/>
      <c r="C1" s="9"/>
      <c r="D1" s="9"/>
      <c r="E1" s="9"/>
      <c r="F1" s="9"/>
      <c r="G1" s="9"/>
      <c r="H1" s="9"/>
      <c r="I1" s="9"/>
      <c r="J1" s="9"/>
      <c r="K1" s="9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customFormat="false" ht="15" hidden="false" customHeight="true" outlineLevel="0" collapsed="false">
      <c r="A2" s="10" t="s">
        <v>425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customFormat="false" ht="15" hidden="false" customHeight="tru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customFormat="false" ht="15" hidden="false" customHeight="true" outlineLevel="0" collapsed="false">
      <c r="A4" s="6" t="s">
        <v>336</v>
      </c>
      <c r="B4" s="6" t="s">
        <v>337</v>
      </c>
      <c r="C4" s="46" t="s">
        <v>338</v>
      </c>
      <c r="D4" s="39" t="s">
        <v>64</v>
      </c>
      <c r="E4" s="39" t="s">
        <v>65</v>
      </c>
      <c r="F4" s="39" t="s">
        <v>66</v>
      </c>
      <c r="G4" s="39" t="s">
        <v>339</v>
      </c>
      <c r="H4" s="39" t="s">
        <v>340</v>
      </c>
      <c r="I4" s="39" t="s">
        <v>341</v>
      </c>
      <c r="J4" s="39" t="s">
        <v>342</v>
      </c>
      <c r="K4" s="39" t="s">
        <v>343</v>
      </c>
      <c r="L4" s="39" t="s">
        <v>344</v>
      </c>
      <c r="M4" s="39" t="s">
        <v>345</v>
      </c>
      <c r="N4" s="39" t="s">
        <v>346</v>
      </c>
      <c r="O4" s="39" t="s">
        <v>347</v>
      </c>
      <c r="P4" s="39" t="s">
        <v>348</v>
      </c>
      <c r="Q4" s="39" t="s">
        <v>349</v>
      </c>
      <c r="R4" s="39" t="s">
        <v>350</v>
      </c>
      <c r="S4" s="39" t="s">
        <v>351</v>
      </c>
      <c r="T4" s="39" t="s">
        <v>352</v>
      </c>
      <c r="U4" s="39" t="s">
        <v>353</v>
      </c>
      <c r="V4" s="39" t="s">
        <v>354</v>
      </c>
      <c r="W4" s="39" t="s">
        <v>355</v>
      </c>
      <c r="X4" s="39" t="s">
        <v>356</v>
      </c>
      <c r="Y4" s="39" t="s">
        <v>357</v>
      </c>
      <c r="Z4" s="39" t="s">
        <v>358</v>
      </c>
      <c r="AA4" s="39" t="s">
        <v>359</v>
      </c>
      <c r="AB4" s="39" t="s">
        <v>360</v>
      </c>
      <c r="AC4" s="39" t="s">
        <v>361</v>
      </c>
      <c r="AD4" s="39" t="s">
        <v>362</v>
      </c>
      <c r="AE4" s="39" t="s">
        <v>363</v>
      </c>
      <c r="AF4" s="39" t="s">
        <v>364</v>
      </c>
      <c r="AG4" s="39" t="s">
        <v>365</v>
      </c>
      <c r="AH4" s="39" t="s">
        <v>366</v>
      </c>
      <c r="AI4" s="39" t="s">
        <v>367</v>
      </c>
      <c r="AJ4" s="39" t="s">
        <v>368</v>
      </c>
      <c r="AK4" s="39" t="s">
        <v>369</v>
      </c>
      <c r="AL4" s="39" t="s">
        <v>370</v>
      </c>
      <c r="AM4" s="39" t="s">
        <v>371</v>
      </c>
      <c r="AN4" s="39" t="s">
        <v>372</v>
      </c>
      <c r="AO4" s="39" t="s">
        <v>373</v>
      </c>
      <c r="AP4" s="39" t="s">
        <v>374</v>
      </c>
      <c r="AQ4" s="39" t="s">
        <v>375</v>
      </c>
      <c r="AR4" s="39" t="s">
        <v>376</v>
      </c>
      <c r="AS4" s="39" t="s">
        <v>377</v>
      </c>
      <c r="AT4" s="39" t="s">
        <v>378</v>
      </c>
      <c r="AU4" s="39" t="s">
        <v>379</v>
      </c>
      <c r="AV4" s="39" t="s">
        <v>380</v>
      </c>
      <c r="AW4" s="39" t="s">
        <v>381</v>
      </c>
      <c r="AX4" s="39" t="s">
        <v>382</v>
      </c>
      <c r="AY4" s="39" t="s">
        <v>383</v>
      </c>
      <c r="AZ4" s="39" t="s">
        <v>384</v>
      </c>
    </row>
    <row r="5" customFormat="false" ht="15" hidden="false" customHeight="true" outlineLevel="0" collapsed="false">
      <c r="A5" s="11" t="s">
        <v>426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</row>
    <row r="6" customFormat="false" ht="15" hidden="false" customHeight="true" outlineLevel="0" collapsed="false">
      <c r="A6" s="13" t="s">
        <v>325</v>
      </c>
      <c r="B6" s="2"/>
      <c r="C6" s="41" t="n">
        <f aca="false">SUM(D6:AZ6)</f>
        <v>7988.19625368114</v>
      </c>
      <c r="D6" s="40" t="n">
        <f aca="false">Operations!D9</f>
        <v>0</v>
      </c>
      <c r="E6" s="40" t="n">
        <f aca="false">Operations!E9</f>
        <v>0</v>
      </c>
      <c r="F6" s="40" t="n">
        <f aca="false">Operations!F9</f>
        <v>0</v>
      </c>
      <c r="G6" s="40" t="n">
        <f aca="false">Operations!G9</f>
        <v>46.4395758393285</v>
      </c>
      <c r="H6" s="40" t="n">
        <f aca="false">Operations!H9</f>
        <v>99.8619397194245</v>
      </c>
      <c r="I6" s="40" t="n">
        <f aca="false">Operations!I9</f>
        <v>107.215219104227</v>
      </c>
      <c r="J6" s="40" t="n">
        <f aca="false">Operations!J9</f>
        <v>109.58467544643</v>
      </c>
      <c r="K6" s="40" t="n">
        <f aca="false">Operations!K9</f>
        <v>112.006496773796</v>
      </c>
      <c r="L6" s="40" t="n">
        <f aca="false">Operations!L9</f>
        <v>114.481840352497</v>
      </c>
      <c r="M6" s="40" t="n">
        <f aca="false">Operations!M9</f>
        <v>117.011889024287</v>
      </c>
      <c r="N6" s="40" t="n">
        <f aca="false">Operations!N9</f>
        <v>119.597851771724</v>
      </c>
      <c r="O6" s="40" t="n">
        <f aca="false">Operations!O9</f>
        <v>122.240964295879</v>
      </c>
      <c r="P6" s="40" t="n">
        <f aca="false">Operations!P9</f>
        <v>124.942489606818</v>
      </c>
      <c r="Q6" s="40" t="n">
        <f aca="false">Operations!Q9</f>
        <v>127.703718627129</v>
      </c>
      <c r="R6" s="40" t="n">
        <f aca="false">Operations!R9</f>
        <v>130.525970808788</v>
      </c>
      <c r="S6" s="40" t="n">
        <f aca="false">Operations!S9</f>
        <v>133.410594763662</v>
      </c>
      <c r="T6" s="40" t="n">
        <f aca="false">Operations!T9</f>
        <v>136.358968907939</v>
      </c>
      <c r="U6" s="40" t="n">
        <f aca="false">Operations!U9</f>
        <v>139.372502120805</v>
      </c>
      <c r="V6" s="40" t="n">
        <f aca="false">Operations!V9</f>
        <v>142.452634417675</v>
      </c>
      <c r="W6" s="40" t="n">
        <f aca="false">Operations!W9</f>
        <v>145.600837638305</v>
      </c>
      <c r="X6" s="40" t="n">
        <f aca="false">Operations!X9</f>
        <v>148.818616150112</v>
      </c>
      <c r="Y6" s="40" t="n">
        <f aca="false">Operations!Y9</f>
        <v>152.107507567029</v>
      </c>
      <c r="Z6" s="40" t="n">
        <f aca="false">Operations!Z9</f>
        <v>155.469083484261</v>
      </c>
      <c r="AA6" s="40" t="n">
        <f aca="false">Operations!AA9</f>
        <v>158.904950229263</v>
      </c>
      <c r="AB6" s="40" t="n">
        <f aca="false">Operations!AB9</f>
        <v>162.416749629329</v>
      </c>
      <c r="AC6" s="40" t="n">
        <f aca="false">Operations!AC9</f>
        <v>166.006159796138</v>
      </c>
      <c r="AD6" s="40" t="n">
        <f aca="false">Operations!AD9</f>
        <v>169.674895927632</v>
      </c>
      <c r="AE6" s="40" t="n">
        <f aca="false">Operations!AE9</f>
        <v>173.424711127633</v>
      </c>
      <c r="AF6" s="40" t="n">
        <f aca="false">Operations!AF9</f>
        <v>177.257397243554</v>
      </c>
      <c r="AG6" s="40" t="n">
        <f aca="false">Operations!AG9</f>
        <v>181.174785722636</v>
      </c>
      <c r="AH6" s="40" t="n">
        <f aca="false">Operations!AH9</f>
        <v>185.178748487106</v>
      </c>
      <c r="AI6" s="40" t="n">
        <f aca="false">Operations!AI9</f>
        <v>189.271198828672</v>
      </c>
      <c r="AJ6" s="40" t="n">
        <f aca="false">Operations!AJ9</f>
        <v>193.454092322785</v>
      </c>
      <c r="AK6" s="40" t="n">
        <f aca="false">Operations!AK9</f>
        <v>197.729427763119</v>
      </c>
      <c r="AL6" s="40" t="n">
        <f aca="false">Operations!AL9</f>
        <v>202.099248116684</v>
      </c>
      <c r="AM6" s="40" t="n">
        <f aca="false">Operations!AM9</f>
        <v>206.565641500062</v>
      </c>
      <c r="AN6" s="40" t="n">
        <f aca="false">Operations!AN9</f>
        <v>211.130742177214</v>
      </c>
      <c r="AO6" s="40" t="n">
        <f aca="false">Operations!AO9</f>
        <v>215.79673157933</v>
      </c>
      <c r="AP6" s="40" t="n">
        <f aca="false">Operations!AP9</f>
        <v>220.565839347233</v>
      </c>
      <c r="AQ6" s="40" t="n">
        <f aca="false">Operations!AQ9</f>
        <v>225.440344396807</v>
      </c>
      <c r="AR6" s="40" t="n">
        <f aca="false">Operations!AR9</f>
        <v>230.422576007977</v>
      </c>
      <c r="AS6" s="40" t="n">
        <f aca="false">Operations!AS9</f>
        <v>235.514914937753</v>
      </c>
      <c r="AT6" s="40" t="n">
        <f aca="false">Operations!AT9</f>
        <v>240.719794557877</v>
      </c>
      <c r="AU6" s="40" t="n">
        <f aca="false">Operations!AU9</f>
        <v>246.039702017606</v>
      </c>
      <c r="AV6" s="40" t="n">
        <f aca="false">Operations!AV9</f>
        <v>251.477179432195</v>
      </c>
      <c r="AW6" s="40" t="n">
        <f aca="false">Operations!AW9</f>
        <v>257.034825097647</v>
      </c>
      <c r="AX6" s="40" t="n">
        <f aca="false">Operations!AX9</f>
        <v>262.715294732305</v>
      </c>
      <c r="AY6" s="40" t="n">
        <f aca="false">Operations!AY9</f>
        <v>268.521302745889</v>
      </c>
      <c r="AZ6" s="40" t="n">
        <f aca="false">Operations!AZ9</f>
        <v>274.455623536573</v>
      </c>
    </row>
    <row r="7" customFormat="false" ht="15" hidden="false" customHeight="true" outlineLevel="0" collapsed="false">
      <c r="A7" s="13" t="s">
        <v>324</v>
      </c>
      <c r="B7" s="2"/>
      <c r="C7" s="41" t="n">
        <f aca="false">SUM(D7:AZ7)</f>
        <v>11869.0637408175</v>
      </c>
      <c r="D7" s="40" t="n">
        <f aca="false">Operations!D21</f>
        <v>0</v>
      </c>
      <c r="E7" s="40" t="n">
        <f aca="false">Operations!E21</f>
        <v>0</v>
      </c>
      <c r="F7" s="40" t="n">
        <f aca="false">Operations!F21</f>
        <v>26.082</v>
      </c>
      <c r="G7" s="40" t="n">
        <f aca="false">Operations!G21</f>
        <v>110.519</v>
      </c>
      <c r="H7" s="40" t="n">
        <f aca="false">Operations!H21</f>
        <v>115.216</v>
      </c>
      <c r="I7" s="40" t="n">
        <f aca="false">Operations!I21</f>
        <v>119.075</v>
      </c>
      <c r="J7" s="40" t="n">
        <f aca="false">Operations!J21</f>
        <v>125.825</v>
      </c>
      <c r="K7" s="40" t="n">
        <f aca="false">Operations!K21</f>
        <v>132.794</v>
      </c>
      <c r="L7" s="40" t="n">
        <f aca="false">Operations!L21</f>
        <v>140.706</v>
      </c>
      <c r="M7" s="40" t="n">
        <f aca="false">Operations!M21</f>
        <v>149.264</v>
      </c>
      <c r="N7" s="40" t="n">
        <f aca="false">Operations!N21</f>
        <v>156.54</v>
      </c>
      <c r="O7" s="40" t="n">
        <f aca="false">Operations!O21</f>
        <v>163.825</v>
      </c>
      <c r="P7" s="40" t="n">
        <f aca="false">Operations!P21</f>
        <v>171.073</v>
      </c>
      <c r="Q7" s="40" t="n">
        <f aca="false">Operations!Q21</f>
        <v>178.88</v>
      </c>
      <c r="R7" s="40" t="n">
        <f aca="false">Operations!R21</f>
        <v>187.14</v>
      </c>
      <c r="S7" s="40" t="n">
        <f aca="false">Operations!S21</f>
        <v>191.8185</v>
      </c>
      <c r="T7" s="40" t="n">
        <f aca="false">Operations!T21</f>
        <v>196.6139625</v>
      </c>
      <c r="U7" s="40" t="n">
        <f aca="false">Operations!U21</f>
        <v>201.5293115625</v>
      </c>
      <c r="V7" s="40" t="n">
        <f aca="false">Operations!V21</f>
        <v>206.567544351562</v>
      </c>
      <c r="W7" s="40" t="n">
        <f aca="false">Operations!W21</f>
        <v>211.731732960351</v>
      </c>
      <c r="X7" s="40" t="n">
        <f aca="false">Operations!X21</f>
        <v>217.02502628436</v>
      </c>
      <c r="Y7" s="40" t="n">
        <f aca="false">Operations!Y21</f>
        <v>222.450651941469</v>
      </c>
      <c r="Z7" s="40" t="n">
        <f aca="false">Operations!Z21</f>
        <v>228.011918240006</v>
      </c>
      <c r="AA7" s="40" t="n">
        <f aca="false">Operations!AA21</f>
        <v>233.712216196006</v>
      </c>
      <c r="AB7" s="40" t="n">
        <f aca="false">Operations!AB21</f>
        <v>239.555021600906</v>
      </c>
      <c r="AC7" s="40" t="n">
        <f aca="false">Operations!AC21</f>
        <v>245.543897140929</v>
      </c>
      <c r="AD7" s="40" t="n">
        <f aca="false">Operations!AD21</f>
        <v>251.682494569452</v>
      </c>
      <c r="AE7" s="40" t="n">
        <f aca="false">Operations!AE21</f>
        <v>257.974556933688</v>
      </c>
      <c r="AF7" s="40" t="n">
        <f aca="false">Operations!AF21</f>
        <v>264.423920857031</v>
      </c>
      <c r="AG7" s="40" t="n">
        <f aca="false">Operations!AG21</f>
        <v>271.034518878456</v>
      </c>
      <c r="AH7" s="40" t="n">
        <f aca="false">Operations!AH21</f>
        <v>277.810381850418</v>
      </c>
      <c r="AI7" s="40" t="n">
        <f aca="false">Operations!AI21</f>
        <v>284.755641396678</v>
      </c>
      <c r="AJ7" s="40" t="n">
        <f aca="false">Operations!AJ21</f>
        <v>291.874532431595</v>
      </c>
      <c r="AK7" s="40" t="n">
        <f aca="false">Operations!AK21</f>
        <v>299.171395742385</v>
      </c>
      <c r="AL7" s="40" t="n">
        <f aca="false">Operations!AL21</f>
        <v>306.650680635944</v>
      </c>
      <c r="AM7" s="40" t="n">
        <f aca="false">Operations!AM21</f>
        <v>314.316947651843</v>
      </c>
      <c r="AN7" s="40" t="n">
        <f aca="false">Operations!AN21</f>
        <v>322.174871343139</v>
      </c>
      <c r="AO7" s="40" t="n">
        <f aca="false">Operations!AO21</f>
        <v>330.229243126717</v>
      </c>
      <c r="AP7" s="40" t="n">
        <f aca="false">Operations!AP21</f>
        <v>338.484974204885</v>
      </c>
      <c r="AQ7" s="40" t="n">
        <f aca="false">Operations!AQ21</f>
        <v>346.947098560008</v>
      </c>
      <c r="AR7" s="40" t="n">
        <f aca="false">Operations!AR21</f>
        <v>355.620776024008</v>
      </c>
      <c r="AS7" s="40" t="n">
        <f aca="false">Operations!AS21</f>
        <v>364.511295424608</v>
      </c>
      <c r="AT7" s="40" t="n">
        <f aca="false">Operations!AT21</f>
        <v>373.624077810223</v>
      </c>
      <c r="AU7" s="40" t="n">
        <f aca="false">Operations!AU21</f>
        <v>382.964679755478</v>
      </c>
      <c r="AV7" s="40" t="n">
        <f aca="false">Operations!AV21</f>
        <v>392.538796749365</v>
      </c>
      <c r="AW7" s="40" t="n">
        <f aca="false">Operations!AW21</f>
        <v>402.3522666681</v>
      </c>
      <c r="AX7" s="40" t="n">
        <f aca="false">Operations!AX21</f>
        <v>412.411073334802</v>
      </c>
      <c r="AY7" s="40" t="n">
        <f aca="false">Operations!AY21</f>
        <v>422.721350168172</v>
      </c>
      <c r="AZ7" s="40" t="n">
        <f aca="false">Operations!AZ21</f>
        <v>433.289383922376</v>
      </c>
    </row>
    <row r="8" customFormat="false" ht="15" hidden="false" customHeight="true" outlineLevel="0" collapsed="false">
      <c r="A8" s="13" t="s">
        <v>427</v>
      </c>
      <c r="B8" s="2"/>
      <c r="C8" s="41" t="n">
        <f aca="false">SUM(D8:AZ8)</f>
        <v>5463.70647788357</v>
      </c>
      <c r="D8" s="40" t="n">
        <f aca="false">Operations!D28</f>
        <v>0</v>
      </c>
      <c r="E8" s="40" t="n">
        <f aca="false">Operations!E28</f>
        <v>0</v>
      </c>
      <c r="F8" s="40" t="n">
        <f aca="false">Operations!F28</f>
        <v>9.23484163860281</v>
      </c>
      <c r="G8" s="40" t="n">
        <f aca="false">Operations!G28</f>
        <v>36.9393665544112</v>
      </c>
      <c r="H8" s="40" t="n">
        <f aca="false">Operations!H28</f>
        <v>48.1937282816604</v>
      </c>
      <c r="I8" s="40" t="n">
        <f aca="false">Operations!I28</f>
        <v>58.6685059626762</v>
      </c>
      <c r="J8" s="40" t="n">
        <f aca="false">Operations!J28</f>
        <v>58.6685059626762</v>
      </c>
      <c r="K8" s="40" t="n">
        <f aca="false">Operations!K28</f>
        <v>58.6685059626762</v>
      </c>
      <c r="L8" s="40" t="n">
        <f aca="false">Operations!L28</f>
        <v>64.5353565589438</v>
      </c>
      <c r="M8" s="40" t="n">
        <f aca="false">Operations!M28</f>
        <v>64.5353565589438</v>
      </c>
      <c r="N8" s="40" t="n">
        <f aca="false">Operations!N28</f>
        <v>64.5353565589438</v>
      </c>
      <c r="O8" s="40" t="n">
        <f aca="false">Operations!O28</f>
        <v>70.9888922148382</v>
      </c>
      <c r="P8" s="40" t="n">
        <f aca="false">Operations!P28</f>
        <v>70.9888922148382</v>
      </c>
      <c r="Q8" s="40" t="n">
        <f aca="false">Operations!Q28</f>
        <v>70.9888922148382</v>
      </c>
      <c r="R8" s="40" t="n">
        <f aca="false">Operations!R28</f>
        <v>78.0877814363221</v>
      </c>
      <c r="S8" s="40" t="n">
        <f aca="false">Operations!S28</f>
        <v>78.0877814363221</v>
      </c>
      <c r="T8" s="40" t="n">
        <f aca="false">Operations!T28</f>
        <v>78.0877814363221</v>
      </c>
      <c r="U8" s="40" t="n">
        <f aca="false">Operations!U28</f>
        <v>85.8965595799543</v>
      </c>
      <c r="V8" s="40" t="n">
        <f aca="false">Operations!V28</f>
        <v>85.8965595799543</v>
      </c>
      <c r="W8" s="40" t="n">
        <f aca="false">Operations!W28</f>
        <v>85.8965595799543</v>
      </c>
      <c r="X8" s="40" t="n">
        <f aca="false">Operations!X28</f>
        <v>94.4862155379497</v>
      </c>
      <c r="Y8" s="40" t="n">
        <f aca="false">Operations!Y28</f>
        <v>94.4862155379497</v>
      </c>
      <c r="Z8" s="40" t="n">
        <f aca="false">Operations!Z28</f>
        <v>94.4862155379497</v>
      </c>
      <c r="AA8" s="40" t="n">
        <f aca="false">Operations!AA28</f>
        <v>103.934837091745</v>
      </c>
      <c r="AB8" s="40" t="n">
        <f aca="false">Operations!AB28</f>
        <v>103.934837091745</v>
      </c>
      <c r="AC8" s="40" t="n">
        <f aca="false">Operations!AC28</f>
        <v>103.934837091745</v>
      </c>
      <c r="AD8" s="40" t="n">
        <f aca="false">Operations!AD28</f>
        <v>114.328320800919</v>
      </c>
      <c r="AE8" s="40" t="n">
        <f aca="false">Operations!AE28</f>
        <v>114.328320800919</v>
      </c>
      <c r="AF8" s="40" t="n">
        <f aca="false">Operations!AF28</f>
        <v>114.328320800919</v>
      </c>
      <c r="AG8" s="40" t="n">
        <f aca="false">Operations!AG28</f>
        <v>125.761152881011</v>
      </c>
      <c r="AH8" s="40" t="n">
        <f aca="false">Operations!AH28</f>
        <v>125.761152881011</v>
      </c>
      <c r="AI8" s="40" t="n">
        <f aca="false">Operations!AI28</f>
        <v>125.761152881011</v>
      </c>
      <c r="AJ8" s="40" t="n">
        <f aca="false">Operations!AJ28</f>
        <v>138.337268169112</v>
      </c>
      <c r="AK8" s="40" t="n">
        <f aca="false">Operations!AK28</f>
        <v>138.337268169112</v>
      </c>
      <c r="AL8" s="40" t="n">
        <f aca="false">Operations!AL28</f>
        <v>138.337268169112</v>
      </c>
      <c r="AM8" s="40" t="n">
        <f aca="false">Operations!AM28</f>
        <v>152.170994986023</v>
      </c>
      <c r="AN8" s="40" t="n">
        <f aca="false">Operations!AN28</f>
        <v>152.170994986023</v>
      </c>
      <c r="AO8" s="40" t="n">
        <f aca="false">Operations!AO28</f>
        <v>152.170994986023</v>
      </c>
      <c r="AP8" s="40" t="n">
        <f aca="false">Operations!AP28</f>
        <v>167.388094484626</v>
      </c>
      <c r="AQ8" s="40" t="n">
        <f aca="false">Operations!AQ28</f>
        <v>167.388094484626</v>
      </c>
      <c r="AR8" s="40" t="n">
        <f aca="false">Operations!AR28</f>
        <v>167.388094484626</v>
      </c>
      <c r="AS8" s="40" t="n">
        <f aca="false">Operations!AS28</f>
        <v>184.126903933088</v>
      </c>
      <c r="AT8" s="40" t="n">
        <f aca="false">Operations!AT28</f>
        <v>184.126903933088</v>
      </c>
      <c r="AU8" s="40" t="n">
        <f aca="false">Operations!AU28</f>
        <v>184.126903933088</v>
      </c>
      <c r="AV8" s="40" t="n">
        <f aca="false">Operations!AV28</f>
        <v>202.539594326397</v>
      </c>
      <c r="AW8" s="40" t="n">
        <f aca="false">Operations!AW28</f>
        <v>202.539594326397</v>
      </c>
      <c r="AX8" s="40" t="n">
        <f aca="false">Operations!AX28</f>
        <v>202.539594326397</v>
      </c>
      <c r="AY8" s="40" t="n">
        <f aca="false">Operations!AY28</f>
        <v>222.793553759037</v>
      </c>
      <c r="AZ8" s="40" t="n">
        <f aca="false">Operations!AZ28</f>
        <v>222.793553759037</v>
      </c>
    </row>
    <row r="9" customFormat="false" ht="15" hidden="false" customHeight="true" outlineLevel="0" collapsed="false">
      <c r="A9" s="6" t="s">
        <v>428</v>
      </c>
      <c r="B9" s="2"/>
      <c r="C9" s="44" t="n">
        <f aca="false">SUM(D9:AZ9)</f>
        <v>25320.9664723822</v>
      </c>
      <c r="D9" s="44" t="n">
        <f aca="false">SUM(D6:D8)</f>
        <v>0</v>
      </c>
      <c r="E9" s="44" t="n">
        <f aca="false">SUM(E6:E8)</f>
        <v>0</v>
      </c>
      <c r="F9" s="44" t="n">
        <f aca="false">SUM(F6:F8)</f>
        <v>35.3168416386028</v>
      </c>
      <c r="G9" s="44" t="n">
        <f aca="false">SUM(G6:G8)</f>
        <v>193.89794239374</v>
      </c>
      <c r="H9" s="44" t="n">
        <f aca="false">SUM(H6:H8)</f>
        <v>263.271668001085</v>
      </c>
      <c r="I9" s="44" t="n">
        <f aca="false">SUM(I6:I8)</f>
        <v>284.958725066903</v>
      </c>
      <c r="J9" s="44" t="n">
        <f aca="false">SUM(J6:J8)</f>
        <v>294.078181409106</v>
      </c>
      <c r="K9" s="44" t="n">
        <f aca="false">SUM(K6:K8)</f>
        <v>303.469002736472</v>
      </c>
      <c r="L9" s="44" t="n">
        <f aca="false">SUM(L6:L8)</f>
        <v>319.723196911441</v>
      </c>
      <c r="M9" s="44" t="n">
        <f aca="false">SUM(M6:M8)</f>
        <v>330.811245583231</v>
      </c>
      <c r="N9" s="44" t="n">
        <f aca="false">SUM(N6:N8)</f>
        <v>340.673208330668</v>
      </c>
      <c r="O9" s="44" t="n">
        <f aca="false">SUM(O6:O8)</f>
        <v>357.054856510717</v>
      </c>
      <c r="P9" s="44" t="n">
        <f aca="false">SUM(P6:P8)</f>
        <v>367.004381821656</v>
      </c>
      <c r="Q9" s="44" t="n">
        <f aca="false">SUM(Q6:Q8)</f>
        <v>377.572610841967</v>
      </c>
      <c r="R9" s="44" t="n">
        <f aca="false">SUM(R6:R8)</f>
        <v>395.75375224511</v>
      </c>
      <c r="S9" s="44" t="n">
        <f aca="false">SUM(S6:S8)</f>
        <v>403.316876199984</v>
      </c>
      <c r="T9" s="44" t="n">
        <f aca="false">SUM(T6:T8)</f>
        <v>411.060712844261</v>
      </c>
      <c r="U9" s="44" t="n">
        <f aca="false">SUM(U6:U8)</f>
        <v>426.798373263259</v>
      </c>
      <c r="V9" s="44" t="n">
        <f aca="false">SUM(V6:V8)</f>
        <v>434.916738349191</v>
      </c>
      <c r="W9" s="44" t="n">
        <f aca="false">SUM(W6:W8)</f>
        <v>443.229130178611</v>
      </c>
      <c r="X9" s="44" t="n">
        <f aca="false">SUM(X6:X8)</f>
        <v>460.329857972422</v>
      </c>
      <c r="Y9" s="44" t="n">
        <f aca="false">SUM(Y6:Y8)</f>
        <v>469.044375046448</v>
      </c>
      <c r="Z9" s="44" t="n">
        <f aca="false">SUM(Z6:Z8)</f>
        <v>477.967217262216</v>
      </c>
      <c r="AA9" s="44" t="n">
        <f aca="false">SUM(AA6:AA8)</f>
        <v>496.552003517014</v>
      </c>
      <c r="AB9" s="44" t="n">
        <f aca="false">SUM(AB6:AB8)</f>
        <v>505.90660832198</v>
      </c>
      <c r="AC9" s="44" t="n">
        <f aca="false">SUM(AC6:AC8)</f>
        <v>515.484894028811</v>
      </c>
      <c r="AD9" s="44" t="n">
        <f aca="false">SUM(AD6:AD8)</f>
        <v>535.685711298004</v>
      </c>
      <c r="AE9" s="44" t="n">
        <f aca="false">SUM(AE6:AE8)</f>
        <v>545.72758886224</v>
      </c>
      <c r="AF9" s="44" t="n">
        <f aca="false">SUM(AF6:AF8)</f>
        <v>556.009638901503</v>
      </c>
      <c r="AG9" s="44" t="n">
        <f aca="false">SUM(AG6:AG8)</f>
        <v>577.970457482104</v>
      </c>
      <c r="AH9" s="44" t="n">
        <f aca="false">SUM(AH6:AH8)</f>
        <v>588.750283218535</v>
      </c>
      <c r="AI9" s="44" t="n">
        <f aca="false">SUM(AI6:AI8)</f>
        <v>599.787993106361</v>
      </c>
      <c r="AJ9" s="44" t="n">
        <f aca="false">SUM(AJ6:AJ8)</f>
        <v>623.665892923492</v>
      </c>
      <c r="AK9" s="44" t="n">
        <f aca="false">SUM(AK6:AK8)</f>
        <v>635.238091674616</v>
      </c>
      <c r="AL9" s="44" t="n">
        <f aca="false">SUM(AL6:AL8)</f>
        <v>647.08719692174</v>
      </c>
      <c r="AM9" s="44" t="n">
        <f aca="false">SUM(AM6:AM8)</f>
        <v>673.053584137929</v>
      </c>
      <c r="AN9" s="44" t="n">
        <f aca="false">SUM(AN6:AN8)</f>
        <v>685.476608506376</v>
      </c>
      <c r="AO9" s="44" t="n">
        <f aca="false">SUM(AO6:AO8)</f>
        <v>698.196969692071</v>
      </c>
      <c r="AP9" s="44" t="n">
        <f aca="false">SUM(AP6:AP8)</f>
        <v>726.438908036745</v>
      </c>
      <c r="AQ9" s="44" t="n">
        <f aca="false">SUM(AQ6:AQ8)</f>
        <v>739.77553744144</v>
      </c>
      <c r="AR9" s="44" t="n">
        <f aca="false">SUM(AR6:AR8)</f>
        <v>753.43144651661</v>
      </c>
      <c r="AS9" s="44" t="n">
        <f aca="false">SUM(AS6:AS8)</f>
        <v>784.153114295449</v>
      </c>
      <c r="AT9" s="44" t="n">
        <f aca="false">SUM(AT6:AT8)</f>
        <v>798.470776301189</v>
      </c>
      <c r="AU9" s="44" t="n">
        <f aca="false">SUM(AU6:AU8)</f>
        <v>813.131285706173</v>
      </c>
      <c r="AV9" s="44" t="n">
        <f aca="false">SUM(AV6:AV8)</f>
        <v>846.555570507958</v>
      </c>
      <c r="AW9" s="44" t="n">
        <f aca="false">SUM(AW6:AW8)</f>
        <v>861.926686092144</v>
      </c>
      <c r="AX9" s="44" t="n">
        <f aca="false">SUM(AX6:AX8)</f>
        <v>877.665962393504</v>
      </c>
      <c r="AY9" s="44" t="n">
        <f aca="false">SUM(AY6:AY8)</f>
        <v>914.036206673098</v>
      </c>
      <c r="AZ9" s="44" t="n">
        <f aca="false">SUM(AZ6:AZ8)</f>
        <v>930.538561217986</v>
      </c>
    </row>
    <row r="10" customFormat="false" ht="15" hidden="false" customHeight="true" outlineLevel="0" collapsed="false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customFormat="false" ht="15" hidden="false" customHeight="true" outlineLevel="0" collapsed="false">
      <c r="A11" s="11" t="s">
        <v>429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</row>
    <row r="12" customFormat="false" ht="15" hidden="false" customHeight="true" outlineLevel="0" collapsed="false">
      <c r="A12" s="13" t="s">
        <v>408</v>
      </c>
      <c r="B12" s="2"/>
      <c r="C12" s="41" t="n">
        <f aca="false">SUM(D12:AZ12)</f>
        <v>2921.75735463584</v>
      </c>
      <c r="D12" s="40" t="n">
        <f aca="false">Operations!D13</f>
        <v>0</v>
      </c>
      <c r="E12" s="40" t="n">
        <f aca="false">Operations!E13</f>
        <v>0</v>
      </c>
      <c r="F12" s="40" t="n">
        <f aca="false">Operations!F13</f>
        <v>0</v>
      </c>
      <c r="G12" s="40" t="n">
        <f aca="false">Operations!G13</f>
        <v>15.6334188105516</v>
      </c>
      <c r="H12" s="40" t="n">
        <f aca="false">Operations!H13</f>
        <v>35.3631100934426</v>
      </c>
      <c r="I12" s="40" t="n">
        <f aca="false">Operations!I13</f>
        <v>39.2493474096753</v>
      </c>
      <c r="J12" s="40" t="n">
        <f aca="false">Operations!J13</f>
        <v>40.1167579874291</v>
      </c>
      <c r="K12" s="40" t="n">
        <f aca="false">Operations!K13</f>
        <v>41.0033383389513</v>
      </c>
      <c r="L12" s="40" t="n">
        <f aca="false">Operations!L13</f>
        <v>41.9095121162421</v>
      </c>
      <c r="M12" s="40" t="n">
        <f aca="false">Operations!M13</f>
        <v>42.8357123340111</v>
      </c>
      <c r="N12" s="40" t="n">
        <f aca="false">Operations!N13</f>
        <v>43.7823815765927</v>
      </c>
      <c r="O12" s="40" t="n">
        <f aca="false">Operations!O13</f>
        <v>44.7499722094354</v>
      </c>
      <c r="P12" s="40" t="n">
        <f aca="false">Operations!P13</f>
        <v>45.7389465952639</v>
      </c>
      <c r="Q12" s="40" t="n">
        <f aca="false">Operations!Q13</f>
        <v>46.7497773150193</v>
      </c>
      <c r="R12" s="40" t="n">
        <f aca="false">Operations!R13</f>
        <v>47.7829473936812</v>
      </c>
      <c r="S12" s="40" t="n">
        <f aca="false">Operations!S13</f>
        <v>48.8389505310815</v>
      </c>
      <c r="T12" s="40" t="n">
        <f aca="false">Operations!T13</f>
        <v>49.9182913378184</v>
      </c>
      <c r="U12" s="40" t="n">
        <f aca="false">Operations!U13</f>
        <v>51.0214855763842</v>
      </c>
      <c r="V12" s="40" t="n">
        <f aca="false">Operations!V13</f>
        <v>52.1490604076223</v>
      </c>
      <c r="W12" s="40" t="n">
        <f aca="false">Operations!W13</f>
        <v>53.3015546426308</v>
      </c>
      <c r="X12" s="40" t="n">
        <f aca="false">Operations!X13</f>
        <v>54.4795190002329</v>
      </c>
      <c r="Y12" s="40" t="n">
        <f aca="false">Operations!Y13</f>
        <v>55.6835163701381</v>
      </c>
      <c r="Z12" s="40" t="n">
        <f aca="false">Operations!Z13</f>
        <v>56.9141220819181</v>
      </c>
      <c r="AA12" s="40" t="n">
        <f aca="false">Operations!AA13</f>
        <v>58.1719241799285</v>
      </c>
      <c r="AB12" s="40" t="n">
        <f aca="false">Operations!AB13</f>
        <v>59.4575237043049</v>
      </c>
      <c r="AC12" s="40" t="n">
        <f aca="false">Operations!AC13</f>
        <v>60.7715349781701</v>
      </c>
      <c r="AD12" s="40" t="n">
        <f aca="false">Operations!AD13</f>
        <v>62.1145859011876</v>
      </c>
      <c r="AE12" s="40" t="n">
        <f aca="false">Operations!AE13</f>
        <v>63.4873182496039</v>
      </c>
      <c r="AF12" s="40" t="n">
        <f aca="false">Operations!AF13</f>
        <v>64.8903879829201</v>
      </c>
      <c r="AG12" s="40" t="n">
        <f aca="false">Operations!AG13</f>
        <v>66.3244655573427</v>
      </c>
      <c r="AH12" s="40" t="n">
        <f aca="false">Operations!AH13</f>
        <v>67.7902362461599</v>
      </c>
      <c r="AI12" s="40" t="n">
        <f aca="false">Operations!AI13</f>
        <v>69.2884004672001</v>
      </c>
      <c r="AJ12" s="40" t="n">
        <f aca="false">Operations!AJ13</f>
        <v>70.8196741175252</v>
      </c>
      <c r="AK12" s="40" t="n">
        <f aca="false">Operations!AK13</f>
        <v>72.3847889155225</v>
      </c>
      <c r="AL12" s="40" t="n">
        <f aca="false">Operations!AL13</f>
        <v>73.9844927505556</v>
      </c>
      <c r="AM12" s="40" t="n">
        <f aca="false">Operations!AM13</f>
        <v>75.6195500403428</v>
      </c>
      <c r="AN12" s="40" t="n">
        <f aca="false">Operations!AN13</f>
        <v>77.2907420962344</v>
      </c>
      <c r="AO12" s="40" t="n">
        <f aca="false">Operations!AO13</f>
        <v>78.9988674965612</v>
      </c>
      <c r="AP12" s="40" t="n">
        <f aca="false">Operations!AP13</f>
        <v>80.7447424682352</v>
      </c>
      <c r="AQ12" s="40" t="n">
        <f aca="false">Operations!AQ13</f>
        <v>82.5292012767832</v>
      </c>
      <c r="AR12" s="40" t="n">
        <f aca="false">Operations!AR13</f>
        <v>84.3530966250001</v>
      </c>
      <c r="AS12" s="40" t="n">
        <f aca="false">Operations!AS13</f>
        <v>86.2173000604126</v>
      </c>
      <c r="AT12" s="40" t="n">
        <f aca="false">Operations!AT13</f>
        <v>88.1227023917477</v>
      </c>
      <c r="AU12" s="40" t="n">
        <f aca="false">Operations!AU13</f>
        <v>90.0702141146053</v>
      </c>
      <c r="AV12" s="40" t="n">
        <f aca="false">Operations!AV13</f>
        <v>92.0607658465381</v>
      </c>
      <c r="AW12" s="40" t="n">
        <f aca="false">Operations!AW13</f>
        <v>94.0953087717466</v>
      </c>
      <c r="AX12" s="40" t="n">
        <f aca="false">Operations!AX13</f>
        <v>96.1748150956022</v>
      </c>
      <c r="AY12" s="40" t="n">
        <f aca="false">Operations!AY13</f>
        <v>98.300278509215</v>
      </c>
      <c r="AZ12" s="40" t="n">
        <f aca="false">Operations!AZ13</f>
        <v>100.472714664269</v>
      </c>
    </row>
    <row r="13" customFormat="false" ht="15" hidden="false" customHeight="true" outlineLevel="0" collapsed="false">
      <c r="A13" s="13" t="s">
        <v>418</v>
      </c>
      <c r="B13" s="2"/>
      <c r="C13" s="41" t="n">
        <f aca="false">SUM(D13:AZ13)</f>
        <v>4881.78120642385</v>
      </c>
      <c r="D13" s="40" t="n">
        <f aca="false">Operations!D25</f>
        <v>0</v>
      </c>
      <c r="E13" s="40" t="n">
        <f aca="false">Operations!E25</f>
        <v>0</v>
      </c>
      <c r="F13" s="40" t="n">
        <f aca="false">Operations!F25</f>
        <v>7.251</v>
      </c>
      <c r="G13" s="40" t="n">
        <f aca="false">Operations!G25</f>
        <v>34.928</v>
      </c>
      <c r="H13" s="40" t="n">
        <f aca="false">Operations!H25</f>
        <v>37.41175</v>
      </c>
      <c r="I13" s="40" t="n">
        <f aca="false">Operations!I25</f>
        <v>39.21221875</v>
      </c>
      <c r="J13" s="40" t="n">
        <f aca="false">Operations!J25</f>
        <v>42.96437421875</v>
      </c>
      <c r="K13" s="40" t="n">
        <f aca="false">Operations!K25</f>
        <v>46.9461835742188</v>
      </c>
      <c r="L13" s="40" t="n">
        <f aca="false">Operations!L25</f>
        <v>51.5386131635742</v>
      </c>
      <c r="M13" s="40" t="n">
        <f aca="false">Operations!M25</f>
        <v>56.5836284926636</v>
      </c>
      <c r="N13" s="40" t="n">
        <f aca="false">Operations!N25</f>
        <v>60.7931942049802</v>
      </c>
      <c r="O13" s="40" t="n">
        <f aca="false">Operations!O25</f>
        <v>64.9322740601047</v>
      </c>
      <c r="P13" s="40" t="n">
        <f aca="false">Operations!P25</f>
        <v>69.0288309116073</v>
      </c>
      <c r="Q13" s="40" t="n">
        <f aca="false">Operations!Q25</f>
        <v>73.4748266843975</v>
      </c>
      <c r="R13" s="40" t="n">
        <f aca="false">Operations!R25</f>
        <v>78.2242223515074</v>
      </c>
      <c r="S13" s="40" t="n">
        <f aca="false">Operations!S25</f>
        <v>80.1798279102951</v>
      </c>
      <c r="T13" s="40" t="n">
        <f aca="false">Operations!T25</f>
        <v>82.1843236080525</v>
      </c>
      <c r="U13" s="40" t="n">
        <f aca="false">Operations!U25</f>
        <v>84.2389316982537</v>
      </c>
      <c r="V13" s="40" t="n">
        <f aca="false">Operations!V25</f>
        <v>86.3449049907101</v>
      </c>
      <c r="W13" s="40" t="n">
        <f aca="false">Operations!W25</f>
        <v>88.5035276154778</v>
      </c>
      <c r="X13" s="40" t="n">
        <f aca="false">Operations!X25</f>
        <v>90.7161158058648</v>
      </c>
      <c r="Y13" s="40" t="n">
        <f aca="false">Operations!Y25</f>
        <v>92.9840187010114</v>
      </c>
      <c r="Z13" s="40" t="n">
        <f aca="false">Operations!Z25</f>
        <v>95.3086191685367</v>
      </c>
      <c r="AA13" s="40" t="n">
        <f aca="false">Operations!AA25</f>
        <v>97.6913346477501</v>
      </c>
      <c r="AB13" s="40" t="n">
        <f aca="false">Operations!AB25</f>
        <v>100.133618013944</v>
      </c>
      <c r="AC13" s="40" t="n">
        <f aca="false">Operations!AC25</f>
        <v>102.636958464292</v>
      </c>
      <c r="AD13" s="40" t="n">
        <f aca="false">Operations!AD25</f>
        <v>105.2028824259</v>
      </c>
      <c r="AE13" s="40" t="n">
        <f aca="false">Operations!AE25</f>
        <v>107.832954486547</v>
      </c>
      <c r="AF13" s="40" t="n">
        <f aca="false">Operations!AF25</f>
        <v>110.528778348711</v>
      </c>
      <c r="AG13" s="40" t="n">
        <f aca="false">Operations!AG25</f>
        <v>113.291997807429</v>
      </c>
      <c r="AH13" s="40" t="n">
        <f aca="false">Operations!AH25</f>
        <v>116.124297752614</v>
      </c>
      <c r="AI13" s="40" t="n">
        <f aca="false">Operations!AI25</f>
        <v>119.02740519643</v>
      </c>
      <c r="AJ13" s="40" t="n">
        <f aca="false">Operations!AJ25</f>
        <v>122.00309032634</v>
      </c>
      <c r="AK13" s="40" t="n">
        <f aca="false">Operations!AK25</f>
        <v>125.053167584499</v>
      </c>
      <c r="AL13" s="40" t="n">
        <f aca="false">Operations!AL25</f>
        <v>128.179496774111</v>
      </c>
      <c r="AM13" s="40" t="n">
        <f aca="false">Operations!AM25</f>
        <v>131.383984193464</v>
      </c>
      <c r="AN13" s="40" t="n">
        <f aca="false">Operations!AN25</f>
        <v>134.668583798301</v>
      </c>
      <c r="AO13" s="40" t="n">
        <f aca="false">Operations!AO25</f>
        <v>138.035298393258</v>
      </c>
      <c r="AP13" s="40" t="n">
        <f aca="false">Operations!AP25</f>
        <v>141.48618085309</v>
      </c>
      <c r="AQ13" s="40" t="n">
        <f aca="false">Operations!AQ25</f>
        <v>145.023335374417</v>
      </c>
      <c r="AR13" s="40" t="n">
        <f aca="false">Operations!AR25</f>
        <v>148.648918758777</v>
      </c>
      <c r="AS13" s="40" t="n">
        <f aca="false">Operations!AS25</f>
        <v>152.365141727747</v>
      </c>
      <c r="AT13" s="40" t="n">
        <f aca="false">Operations!AT25</f>
        <v>156.17427027094</v>
      </c>
      <c r="AU13" s="40" t="n">
        <f aca="false">Operations!AU25</f>
        <v>160.078627027714</v>
      </c>
      <c r="AV13" s="40" t="n">
        <f aca="false">Operations!AV25</f>
        <v>164.080592703407</v>
      </c>
      <c r="AW13" s="40" t="n">
        <f aca="false">Operations!AW25</f>
        <v>168.182607520992</v>
      </c>
      <c r="AX13" s="40" t="n">
        <f aca="false">Operations!AX25</f>
        <v>172.387172709017</v>
      </c>
      <c r="AY13" s="40" t="n">
        <f aca="false">Operations!AY25</f>
        <v>176.696852026742</v>
      </c>
      <c r="AZ13" s="40" t="n">
        <f aca="false">Operations!AZ25</f>
        <v>181.114273327411</v>
      </c>
    </row>
    <row r="14" customFormat="false" ht="15" hidden="false" customHeight="true" outlineLevel="0" collapsed="false">
      <c r="A14" s="13" t="s">
        <v>423</v>
      </c>
      <c r="B14" s="2"/>
      <c r="C14" s="41" t="n">
        <f aca="false">SUM(D14:AZ14)</f>
        <v>4467.78662379417</v>
      </c>
      <c r="D14" s="40" t="n">
        <f aca="false">Operations!D31</f>
        <v>0</v>
      </c>
      <c r="E14" s="40" t="n">
        <f aca="false">Operations!E31</f>
        <v>0</v>
      </c>
      <c r="F14" s="40" t="n">
        <f aca="false">Operations!F31</f>
        <v>4.21408377824137</v>
      </c>
      <c r="G14" s="40" t="n">
        <f aca="false">Operations!G31</f>
        <v>26.0831643812582</v>
      </c>
      <c r="H14" s="40" t="n">
        <f aca="false">Operations!H31</f>
        <v>36.7427645864444</v>
      </c>
      <c r="I14" s="40" t="n">
        <f aca="false">Operations!I31</f>
        <v>46.6411192260444</v>
      </c>
      <c r="J14" s="40" t="n">
        <f aca="false">Operations!J31</f>
        <v>46.3863426635444</v>
      </c>
      <c r="K14" s="40" t="n">
        <f aca="false">Operations!K31</f>
        <v>46.1251966869819</v>
      </c>
      <c r="L14" s="40" t="n">
        <f aca="false">Operations!L31</f>
        <v>51.5407402336098</v>
      </c>
      <c r="M14" s="40" t="n">
        <f aca="false">Operations!M31</f>
        <v>51.2663737419839</v>
      </c>
      <c r="N14" s="40" t="n">
        <f aca="false">Operations!N31</f>
        <v>50.9851480880672</v>
      </c>
      <c r="O14" s="40" t="n">
        <f aca="false">Operations!O31</f>
        <v>56.9484317826676</v>
      </c>
      <c r="P14" s="40" t="n">
        <f aca="false">Operations!P31</f>
        <v>56.6529690800214</v>
      </c>
      <c r="Q14" s="40" t="n">
        <f aca="false">Operations!Q31</f>
        <v>56.3501198098091</v>
      </c>
      <c r="R14" s="40" t="n">
        <f aca="false">Operations!R31</f>
        <v>62.9163932966929</v>
      </c>
      <c r="S14" s="40" t="n">
        <f aca="false">Operations!S31</f>
        <v>62.5982122821761</v>
      </c>
      <c r="T14" s="40" t="n">
        <f aca="false">Operations!T31</f>
        <v>62.2720767422964</v>
      </c>
      <c r="U14" s="40" t="n">
        <f aca="false">Operations!U31</f>
        <v>69.5021512016562</v>
      </c>
      <c r="V14" s="40" t="n">
        <f aca="false">Operations!V31</f>
        <v>69.15950505007</v>
      </c>
      <c r="W14" s="40" t="n">
        <f aca="false">Operations!W31</f>
        <v>68.8082927446942</v>
      </c>
      <c r="X14" s="40" t="n">
        <f aca="false">Operations!X31</f>
        <v>76.7690998581942</v>
      </c>
      <c r="Y14" s="40" t="n">
        <f aca="false">Operations!Y31</f>
        <v>76.4001074298588</v>
      </c>
      <c r="Z14" s="40" t="n">
        <f aca="false">Operations!Z31</f>
        <v>76.021890190815</v>
      </c>
      <c r="AA14" s="40" t="n">
        <f aca="false">Operations!AA31</f>
        <v>84.7870972199562</v>
      </c>
      <c r="AB14" s="40" t="n">
        <f aca="false">Operations!AB31</f>
        <v>84.3897327331858</v>
      </c>
      <c r="AC14" s="40" t="n">
        <f aca="false">Operations!AC31</f>
        <v>83.9824341342461</v>
      </c>
      <c r="AD14" s="40" t="n">
        <f aca="false">Operations!AD31</f>
        <v>93.6331207394103</v>
      </c>
      <c r="AE14" s="40" t="n">
        <f aca="false">Operations!AE31</f>
        <v>93.2052026488993</v>
      </c>
      <c r="AF14" s="40" t="n">
        <f aca="false">Operations!AF31</f>
        <v>92.7665866061255</v>
      </c>
      <c r="AG14" s="40" t="n">
        <f aca="false">Operations!AG31</f>
        <v>103.391989598267</v>
      </c>
      <c r="AH14" s="40" t="n">
        <f aca="false">Operations!AH31</f>
        <v>102.931168618328</v>
      </c>
      <c r="AI14" s="40" t="n">
        <f aca="false">Operations!AI31</f>
        <v>102.458827113891</v>
      </c>
      <c r="AJ14" s="40" t="n">
        <f aca="false">Operations!AJ31</f>
        <v>114.157159951426</v>
      </c>
      <c r="AK14" s="40" t="n">
        <f aca="false">Operations!AK31</f>
        <v>113.660906158326</v>
      </c>
      <c r="AL14" s="40" t="n">
        <f aca="false">Operations!AL31</f>
        <v>113.152246020398</v>
      </c>
      <c r="AM14" s="40" t="n">
        <f aca="false">Operations!AM31</f>
        <v>126.031600546565</v>
      </c>
      <c r="AN14" s="40" t="n">
        <f aca="false">Operations!AN31</f>
        <v>125.497189489155</v>
      </c>
      <c r="AO14" s="40" t="n">
        <f aca="false">Operations!AO31</f>
        <v>124.94941815531</v>
      </c>
      <c r="AP14" s="40" t="n">
        <f aca="false">Operations!AP31</f>
        <v>139.128756822415</v>
      </c>
      <c r="AQ14" s="40" t="n">
        <f aca="false">Operations!AQ31</f>
        <v>138.553254564793</v>
      </c>
      <c r="AR14" s="40" t="n">
        <f aca="false">Operations!AR31</f>
        <v>137.963364750732</v>
      </c>
      <c r="AS14" s="40" t="n">
        <f aca="false">Operations!AS31</f>
        <v>153.573612404044</v>
      </c>
      <c r="AT14" s="40" t="n">
        <f aca="false">Operations!AT31</f>
        <v>152.953859418146</v>
      </c>
      <c r="AU14" s="40" t="n">
        <f aca="false">Operations!AU31</f>
        <v>152.3186126076</v>
      </c>
      <c r="AV14" s="40" t="n">
        <f aca="false">Operations!AV31</f>
        <v>169.503857810789</v>
      </c>
      <c r="AW14" s="40" t="n">
        <f aca="false">Operations!AW31</f>
        <v>168.836451630459</v>
      </c>
      <c r="AX14" s="40" t="n">
        <f aca="false">Operations!AX31</f>
        <v>168.152360295621</v>
      </c>
      <c r="AY14" s="40" t="n">
        <f aca="false">Operations!AY31</f>
        <v>187.07117717981</v>
      </c>
      <c r="AZ14" s="40" t="n">
        <f aca="false">Operations!AZ31</f>
        <v>186.352453721146</v>
      </c>
    </row>
    <row r="15" customFormat="false" ht="15" hidden="false" customHeight="true" outlineLevel="0" collapsed="false">
      <c r="A15" s="6" t="s">
        <v>430</v>
      </c>
      <c r="B15" s="2"/>
      <c r="C15" s="44" t="n">
        <f aca="false">SUM(D15:AZ15)</f>
        <v>12271.3251848539</v>
      </c>
      <c r="D15" s="44" t="n">
        <f aca="false">SUM(D12:D14)</f>
        <v>0</v>
      </c>
      <c r="E15" s="44" t="n">
        <f aca="false">SUM(E12:E14)</f>
        <v>0</v>
      </c>
      <c r="F15" s="44" t="n">
        <f aca="false">SUM(F12:F14)</f>
        <v>11.4650837782414</v>
      </c>
      <c r="G15" s="44" t="n">
        <f aca="false">SUM(G12:G14)</f>
        <v>76.6445831918097</v>
      </c>
      <c r="H15" s="44" t="n">
        <f aca="false">SUM(H12:H14)</f>
        <v>109.517624679887</v>
      </c>
      <c r="I15" s="44" t="n">
        <f aca="false">SUM(I12:I14)</f>
        <v>125.10268538572</v>
      </c>
      <c r="J15" s="44" t="n">
        <f aca="false">SUM(J12:J14)</f>
        <v>129.467474869724</v>
      </c>
      <c r="K15" s="44" t="n">
        <f aca="false">SUM(K12:K14)</f>
        <v>134.074718600152</v>
      </c>
      <c r="L15" s="44" t="n">
        <f aca="false">SUM(L12:L14)</f>
        <v>144.988865513426</v>
      </c>
      <c r="M15" s="44" t="n">
        <f aca="false">SUM(M12:M14)</f>
        <v>150.685714568658</v>
      </c>
      <c r="N15" s="44" t="n">
        <f aca="false">SUM(N12:N14)</f>
        <v>155.56072386964</v>
      </c>
      <c r="O15" s="44" t="n">
        <f aca="false">SUM(O12:O14)</f>
        <v>166.630678052208</v>
      </c>
      <c r="P15" s="44" t="n">
        <f aca="false">SUM(P12:P14)</f>
        <v>171.420746586893</v>
      </c>
      <c r="Q15" s="44" t="n">
        <f aca="false">SUM(Q12:Q14)</f>
        <v>176.574723809226</v>
      </c>
      <c r="R15" s="44" t="n">
        <f aca="false">SUM(R12:R14)</f>
        <v>188.923563041882</v>
      </c>
      <c r="S15" s="44" t="n">
        <f aca="false">SUM(S12:S14)</f>
        <v>191.616990723553</v>
      </c>
      <c r="T15" s="44" t="n">
        <f aca="false">SUM(T12:T14)</f>
        <v>194.374691688167</v>
      </c>
      <c r="U15" s="44" t="n">
        <f aca="false">SUM(U12:U14)</f>
        <v>204.762568476294</v>
      </c>
      <c r="V15" s="44" t="n">
        <f aca="false">SUM(V12:V14)</f>
        <v>207.653470448402</v>
      </c>
      <c r="W15" s="44" t="n">
        <f aca="false">SUM(W12:W14)</f>
        <v>210.613375002803</v>
      </c>
      <c r="X15" s="44" t="n">
        <f aca="false">SUM(X12:X14)</f>
        <v>221.964734664292</v>
      </c>
      <c r="Y15" s="44" t="n">
        <f aca="false">SUM(Y12:Y14)</f>
        <v>225.067642501008</v>
      </c>
      <c r="Z15" s="44" t="n">
        <f aca="false">SUM(Z12:Z14)</f>
        <v>228.24463144127</v>
      </c>
      <c r="AA15" s="44" t="n">
        <f aca="false">SUM(AA12:AA14)</f>
        <v>240.650356047635</v>
      </c>
      <c r="AB15" s="44" t="n">
        <f aca="false">SUM(AB12:AB14)</f>
        <v>243.980874451435</v>
      </c>
      <c r="AC15" s="44" t="n">
        <f aca="false">SUM(AC12:AC14)</f>
        <v>247.390927576709</v>
      </c>
      <c r="AD15" s="44" t="n">
        <f aca="false">SUM(AD12:AD14)</f>
        <v>260.950589066498</v>
      </c>
      <c r="AE15" s="44" t="n">
        <f aca="false">SUM(AE12:AE14)</f>
        <v>264.52547538505</v>
      </c>
      <c r="AF15" s="44" t="n">
        <f aca="false">SUM(AF12:AF14)</f>
        <v>268.185752937757</v>
      </c>
      <c r="AG15" s="44" t="n">
        <f aca="false">SUM(AG12:AG14)</f>
        <v>283.008452963039</v>
      </c>
      <c r="AH15" s="44" t="n">
        <f aca="false">SUM(AH12:AH14)</f>
        <v>286.845702617102</v>
      </c>
      <c r="AI15" s="44" t="n">
        <f aca="false">SUM(AI12:AI14)</f>
        <v>290.77463277752</v>
      </c>
      <c r="AJ15" s="44" t="n">
        <f aca="false">SUM(AJ12:AJ14)</f>
        <v>306.979924395291</v>
      </c>
      <c r="AK15" s="44" t="n">
        <f aca="false">SUM(AK12:AK14)</f>
        <v>311.098862658347</v>
      </c>
      <c r="AL15" s="44" t="n">
        <f aca="false">SUM(AL12:AL14)</f>
        <v>315.316235545065</v>
      </c>
      <c r="AM15" s="44" t="n">
        <f aca="false">SUM(AM12:AM14)</f>
        <v>333.035134780372</v>
      </c>
      <c r="AN15" s="44" t="n">
        <f aca="false">SUM(AN12:AN14)</f>
        <v>337.45651538369</v>
      </c>
      <c r="AO15" s="44" t="n">
        <f aca="false">SUM(AO12:AO14)</f>
        <v>341.983584045129</v>
      </c>
      <c r="AP15" s="44" t="n">
        <f aca="false">SUM(AP12:AP14)</f>
        <v>361.359680143739</v>
      </c>
      <c r="AQ15" s="44" t="n">
        <f aca="false">SUM(AQ12:AQ14)</f>
        <v>366.105791215994</v>
      </c>
      <c r="AR15" s="44" t="n">
        <f aca="false">SUM(AR12:AR14)</f>
        <v>370.965380134509</v>
      </c>
      <c r="AS15" s="44" t="n">
        <f aca="false">SUM(AS12:AS14)</f>
        <v>392.156054192204</v>
      </c>
      <c r="AT15" s="44" t="n">
        <f aca="false">SUM(AT12:AT14)</f>
        <v>397.250832080834</v>
      </c>
      <c r="AU15" s="44" t="n">
        <f aca="false">SUM(AU12:AU14)</f>
        <v>402.467453749919</v>
      </c>
      <c r="AV15" s="44" t="n">
        <f aca="false">SUM(AV12:AV14)</f>
        <v>425.645216360734</v>
      </c>
      <c r="AW15" s="44" t="n">
        <f aca="false">SUM(AW12:AW14)</f>
        <v>431.114367923198</v>
      </c>
      <c r="AX15" s="44" t="n">
        <f aca="false">SUM(AX12:AX14)</f>
        <v>436.71434810024</v>
      </c>
      <c r="AY15" s="44" t="n">
        <f aca="false">SUM(AY12:AY14)</f>
        <v>462.068307715767</v>
      </c>
      <c r="AZ15" s="44" t="n">
        <f aca="false">SUM(AZ12:AZ14)</f>
        <v>467.939441712825</v>
      </c>
    </row>
    <row r="16" customFormat="false" ht="15" hidden="false" customHeight="true" outlineLevel="0" collapsed="false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customFormat="false" ht="15" hidden="false" customHeight="true" outlineLevel="0" collapsed="false">
      <c r="A17" s="11" t="s">
        <v>431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</row>
    <row r="18" customFormat="false" ht="15" hidden="false" customHeight="true" outlineLevel="0" collapsed="false">
      <c r="A18" s="13" t="s">
        <v>432</v>
      </c>
      <c r="B18" s="2"/>
      <c r="C18" s="41" t="n">
        <f aca="false">SUM(D18:AZ18)</f>
        <v>-566.5912544198</v>
      </c>
      <c r="D18" s="41" t="n">
        <f aca="false">-Inputs!$B$163*IF(2026&lt;2028+Inputs!$B$9,0,IF(2026=2028+Inputs!$B$9,Inputs!$B$165,1))*(1+Inputs!$B$166)^(2026-2028-Inputs!$B$9)</f>
        <v>-0</v>
      </c>
      <c r="E18" s="41" t="n">
        <f aca="false">-Inputs!$B$163*IF(2027&lt;2028+Inputs!$B$9,0,IF(2027=2028+Inputs!$B$9,Inputs!$B$165,1))*(1+Inputs!$B$166)^(2027-2028-Inputs!$B$9)</f>
        <v>-0</v>
      </c>
      <c r="F18" s="41" t="n">
        <f aca="false">-Inputs!$B$163*IF(2028&lt;2028+Inputs!$B$9,0,IF(2028=2028+Inputs!$B$9,Inputs!$B$165,1))*(1+Inputs!$B$166)^(2028-2028-Inputs!$B$9)</f>
        <v>-3.25</v>
      </c>
      <c r="G18" s="41" t="n">
        <f aca="false">-Inputs!$B$163*IF(2029&lt;2028+Inputs!$B$9,0,IF(2029=2028+Inputs!$B$9,Inputs!$B$165,1))*(1+Inputs!$B$166)^(2029-2028-Inputs!$B$9)</f>
        <v>-6.6625</v>
      </c>
      <c r="H18" s="41" t="n">
        <f aca="false">-Inputs!$B$163*IF(2030&lt;2028+Inputs!$B$9,0,IF(2030=2028+Inputs!$B$9,Inputs!$B$165,1))*(1+Inputs!$B$166)^(2030-2028-Inputs!$B$9)</f>
        <v>-6.8290625</v>
      </c>
      <c r="I18" s="41" t="n">
        <f aca="false">-Inputs!$B$163*IF(2031&lt;2028+Inputs!$B$9,0,IF(2031=2028+Inputs!$B$9,Inputs!$B$165,1))*(1+Inputs!$B$166)^(2031-2028-Inputs!$B$9)</f>
        <v>-6.9997890625</v>
      </c>
      <c r="J18" s="41" t="n">
        <f aca="false">-Inputs!$B$163*IF(2032&lt;2028+Inputs!$B$9,0,IF(2032=2028+Inputs!$B$9,Inputs!$B$165,1))*(1+Inputs!$B$166)^(2032-2028-Inputs!$B$9)</f>
        <v>-7.1747837890625</v>
      </c>
      <c r="K18" s="41" t="n">
        <f aca="false">-Inputs!$B$163*IF(2033&lt;2028+Inputs!$B$9,0,IF(2033=2028+Inputs!$B$9,Inputs!$B$165,1))*(1+Inputs!$B$166)^(2033-2028-Inputs!$B$9)</f>
        <v>-7.35415338378906</v>
      </c>
      <c r="L18" s="41" t="n">
        <f aca="false">-Inputs!$B$163*IF(2034&lt;2028+Inputs!$B$9,0,IF(2034=2028+Inputs!$B$9,Inputs!$B$165,1))*(1+Inputs!$B$166)^(2034-2028-Inputs!$B$9)</f>
        <v>-7.53800721838378</v>
      </c>
      <c r="M18" s="41" t="n">
        <f aca="false">-Inputs!$B$163*IF(2035&lt;2028+Inputs!$B$9,0,IF(2035=2028+Inputs!$B$9,Inputs!$B$165,1))*(1+Inputs!$B$166)^(2035-2028-Inputs!$B$9)</f>
        <v>-7.72645739884338</v>
      </c>
      <c r="N18" s="41" t="n">
        <f aca="false">-Inputs!$B$163*IF(2036&lt;2028+Inputs!$B$9,0,IF(2036=2028+Inputs!$B$9,Inputs!$B$165,1))*(1+Inputs!$B$166)^(2036-2028-Inputs!$B$9)</f>
        <v>-7.91961883381446</v>
      </c>
      <c r="O18" s="41" t="n">
        <f aca="false">-Inputs!$B$163*IF(2037&lt;2028+Inputs!$B$9,0,IF(2037=2028+Inputs!$B$9,Inputs!$B$165,1))*(1+Inputs!$B$166)^(2037-2028-Inputs!$B$9)</f>
        <v>-8.11760930465982</v>
      </c>
      <c r="P18" s="41" t="n">
        <f aca="false">-Inputs!$B$163*IF(2038&lt;2028+Inputs!$B$9,0,IF(2038=2028+Inputs!$B$9,Inputs!$B$165,1))*(1+Inputs!$B$166)^(2038-2028-Inputs!$B$9)</f>
        <v>-8.32054953727632</v>
      </c>
      <c r="Q18" s="41" t="n">
        <f aca="false">-Inputs!$B$163*IF(2039&lt;2028+Inputs!$B$9,0,IF(2039=2028+Inputs!$B$9,Inputs!$B$165,1))*(1+Inputs!$B$166)^(2039-2028-Inputs!$B$9)</f>
        <v>-8.52856327570823</v>
      </c>
      <c r="R18" s="41" t="n">
        <f aca="false">-Inputs!$B$163*IF(2040&lt;2028+Inputs!$B$9,0,IF(2040=2028+Inputs!$B$9,Inputs!$B$165,1))*(1+Inputs!$B$166)^(2040-2028-Inputs!$B$9)</f>
        <v>-8.74177735760093</v>
      </c>
      <c r="S18" s="41" t="n">
        <f aca="false">-Inputs!$B$163*IF(2041&lt;2028+Inputs!$B$9,0,IF(2041=2028+Inputs!$B$9,Inputs!$B$165,1))*(1+Inputs!$B$166)^(2041-2028-Inputs!$B$9)</f>
        <v>-8.96032179154095</v>
      </c>
      <c r="T18" s="41" t="n">
        <f aca="false">-Inputs!$B$163*IF(2042&lt;2028+Inputs!$B$9,0,IF(2042=2028+Inputs!$B$9,Inputs!$B$165,1))*(1+Inputs!$B$166)^(2042-2028-Inputs!$B$9)</f>
        <v>-9.18432983632948</v>
      </c>
      <c r="U18" s="41" t="n">
        <f aca="false">-Inputs!$B$163*IF(2043&lt;2028+Inputs!$B$9,0,IF(2043=2028+Inputs!$B$9,Inputs!$B$165,1))*(1+Inputs!$B$166)^(2043-2028-Inputs!$B$9)</f>
        <v>-9.41393808223771</v>
      </c>
      <c r="V18" s="41" t="n">
        <f aca="false">-Inputs!$B$163*IF(2044&lt;2028+Inputs!$B$9,0,IF(2044=2028+Inputs!$B$9,Inputs!$B$165,1))*(1+Inputs!$B$166)^(2044-2028-Inputs!$B$9)</f>
        <v>-9.64928653429366</v>
      </c>
      <c r="W18" s="41" t="n">
        <f aca="false">-Inputs!$B$163*IF(2045&lt;2028+Inputs!$B$9,0,IF(2045=2028+Inputs!$B$9,Inputs!$B$165,1))*(1+Inputs!$B$166)^(2045-2028-Inputs!$B$9)</f>
        <v>-9.890518697651</v>
      </c>
      <c r="X18" s="41" t="n">
        <f aca="false">-Inputs!$B$163*IF(2046&lt;2028+Inputs!$B$9,0,IF(2046=2028+Inputs!$B$9,Inputs!$B$165,1))*(1+Inputs!$B$166)^(2046-2028-Inputs!$B$9)</f>
        <v>-10.1377816650923</v>
      </c>
      <c r="Y18" s="41" t="n">
        <f aca="false">-Inputs!$B$163*IF(2047&lt;2028+Inputs!$B$9,0,IF(2047=2028+Inputs!$B$9,Inputs!$B$165,1))*(1+Inputs!$B$166)^(2047-2028-Inputs!$B$9)</f>
        <v>-10.3912262067196</v>
      </c>
      <c r="Z18" s="41" t="n">
        <f aca="false">-Inputs!$B$163*IF(2048&lt;2028+Inputs!$B$9,0,IF(2048=2028+Inputs!$B$9,Inputs!$B$165,1))*(1+Inputs!$B$166)^(2048-2028-Inputs!$B$9)</f>
        <v>-10.6510068618876</v>
      </c>
      <c r="AA18" s="41" t="n">
        <f aca="false">-Inputs!$B$163*IF(2049&lt;2028+Inputs!$B$9,0,IF(2049=2028+Inputs!$B$9,Inputs!$B$165,1))*(1+Inputs!$B$166)^(2049-2028-Inputs!$B$9)</f>
        <v>-10.9172820334348</v>
      </c>
      <c r="AB18" s="41" t="n">
        <f aca="false">-Inputs!$B$163*IF(2050&lt;2028+Inputs!$B$9,0,IF(2050=2028+Inputs!$B$9,Inputs!$B$165,1))*(1+Inputs!$B$166)^(2050-2028-Inputs!$B$9)</f>
        <v>-11.1902140842706</v>
      </c>
      <c r="AC18" s="41" t="n">
        <f aca="false">-Inputs!$B$163*IF(2051&lt;2028+Inputs!$B$9,0,IF(2051=2028+Inputs!$B$9,Inputs!$B$165,1))*(1+Inputs!$B$166)^(2051-2028-Inputs!$B$9)</f>
        <v>-11.4699694363774</v>
      </c>
      <c r="AD18" s="41" t="n">
        <f aca="false">-Inputs!$B$163*IF(2052&lt;2028+Inputs!$B$9,0,IF(2052=2028+Inputs!$B$9,Inputs!$B$165,1))*(1+Inputs!$B$166)^(2052-2028-Inputs!$B$9)</f>
        <v>-11.7567186722868</v>
      </c>
      <c r="AE18" s="41" t="n">
        <f aca="false">-Inputs!$B$163*IF(2053&lt;2028+Inputs!$B$9,0,IF(2053=2028+Inputs!$B$9,Inputs!$B$165,1))*(1+Inputs!$B$166)^(2053-2028-Inputs!$B$9)</f>
        <v>-12.050636639094</v>
      </c>
      <c r="AF18" s="41" t="n">
        <f aca="false">-Inputs!$B$163*IF(2054&lt;2028+Inputs!$B$9,0,IF(2054=2028+Inputs!$B$9,Inputs!$B$165,1))*(1+Inputs!$B$166)^(2054-2028-Inputs!$B$9)</f>
        <v>-12.3519025550713</v>
      </c>
      <c r="AG18" s="41" t="n">
        <f aca="false">-Inputs!$B$163*IF(2055&lt;2028+Inputs!$B$9,0,IF(2055=2028+Inputs!$B$9,Inputs!$B$165,1))*(1+Inputs!$B$166)^(2055-2028-Inputs!$B$9)</f>
        <v>-12.6607001189481</v>
      </c>
      <c r="AH18" s="41" t="n">
        <f aca="false">-Inputs!$B$163*IF(2056&lt;2028+Inputs!$B$9,0,IF(2056=2028+Inputs!$B$9,Inputs!$B$165,1))*(1+Inputs!$B$166)^(2056-2028-Inputs!$B$9)</f>
        <v>-12.9772176219218</v>
      </c>
      <c r="AI18" s="41" t="n">
        <f aca="false">-Inputs!$B$163*IF(2057&lt;2028+Inputs!$B$9,0,IF(2057=2028+Inputs!$B$9,Inputs!$B$165,1))*(1+Inputs!$B$166)^(2057-2028-Inputs!$B$9)</f>
        <v>-13.3016480624699</v>
      </c>
      <c r="AJ18" s="41" t="n">
        <f aca="false">-Inputs!$B$163*IF(2058&lt;2028+Inputs!$B$9,0,IF(2058=2028+Inputs!$B$9,Inputs!$B$165,1))*(1+Inputs!$B$166)^(2058-2028-Inputs!$B$9)</f>
        <v>-13.6341892640316</v>
      </c>
      <c r="AK18" s="41" t="n">
        <f aca="false">-Inputs!$B$163*IF(2059&lt;2028+Inputs!$B$9,0,IF(2059=2028+Inputs!$B$9,Inputs!$B$165,1))*(1+Inputs!$B$166)^(2059-2028-Inputs!$B$9)</f>
        <v>-13.9750439956324</v>
      </c>
      <c r="AL18" s="41" t="n">
        <f aca="false">-Inputs!$B$163*IF(2060&lt;2028+Inputs!$B$9,0,IF(2060=2028+Inputs!$B$9,Inputs!$B$165,1))*(1+Inputs!$B$166)^(2060-2028-Inputs!$B$9)</f>
        <v>-14.3244200955232</v>
      </c>
      <c r="AM18" s="41" t="n">
        <f aca="false">-Inputs!$B$163*IF(2061&lt;2028+Inputs!$B$9,0,IF(2061=2028+Inputs!$B$9,Inputs!$B$165,1))*(1+Inputs!$B$166)^(2061-2028-Inputs!$B$9)</f>
        <v>-14.6825305979113</v>
      </c>
      <c r="AN18" s="41" t="n">
        <f aca="false">-Inputs!$B$163*IF(2062&lt;2028+Inputs!$B$9,0,IF(2062=2028+Inputs!$B$9,Inputs!$B$165,1))*(1+Inputs!$B$166)^(2062-2028-Inputs!$B$9)</f>
        <v>-15.0495938628591</v>
      </c>
      <c r="AO18" s="41" t="n">
        <f aca="false">-Inputs!$B$163*IF(2063&lt;2028+Inputs!$B$9,0,IF(2063=2028+Inputs!$B$9,Inputs!$B$165,1))*(1+Inputs!$B$166)^(2063-2028-Inputs!$B$9)</f>
        <v>-15.4258337094305</v>
      </c>
      <c r="AP18" s="41" t="n">
        <f aca="false">-Inputs!$B$163*IF(2064&lt;2028+Inputs!$B$9,0,IF(2064=2028+Inputs!$B$9,Inputs!$B$165,1))*(1+Inputs!$B$166)^(2064-2028-Inputs!$B$9)</f>
        <v>-15.8114795521663</v>
      </c>
      <c r="AQ18" s="41" t="n">
        <f aca="false">-Inputs!$B$163*IF(2065&lt;2028+Inputs!$B$9,0,IF(2065=2028+Inputs!$B$9,Inputs!$B$165,1))*(1+Inputs!$B$166)^(2065-2028-Inputs!$B$9)</f>
        <v>-16.2067665409705</v>
      </c>
      <c r="AR18" s="41" t="n">
        <f aca="false">-Inputs!$B$163*IF(2066&lt;2028+Inputs!$B$9,0,IF(2066=2028+Inputs!$B$9,Inputs!$B$165,1))*(1+Inputs!$B$166)^(2066-2028-Inputs!$B$9)</f>
        <v>-16.6119357044947</v>
      </c>
      <c r="AS18" s="41" t="n">
        <f aca="false">-Inputs!$B$163*IF(2067&lt;2028+Inputs!$B$9,0,IF(2067=2028+Inputs!$B$9,Inputs!$B$165,1))*(1+Inputs!$B$166)^(2067-2028-Inputs!$B$9)</f>
        <v>-17.0272340971071</v>
      </c>
      <c r="AT18" s="41" t="n">
        <f aca="false">-Inputs!$B$163*IF(2068&lt;2028+Inputs!$B$9,0,IF(2068=2028+Inputs!$B$9,Inputs!$B$165,1))*(1+Inputs!$B$166)^(2068-2028-Inputs!$B$9)</f>
        <v>-17.4529149495348</v>
      </c>
      <c r="AU18" s="41" t="n">
        <f aca="false">-Inputs!$B$163*IF(2069&lt;2028+Inputs!$B$9,0,IF(2069=2028+Inputs!$B$9,Inputs!$B$165,1))*(1+Inputs!$B$166)^(2069-2028-Inputs!$B$9)</f>
        <v>-17.8892378232731</v>
      </c>
      <c r="AV18" s="41" t="n">
        <f aca="false">-Inputs!$B$163*IF(2070&lt;2028+Inputs!$B$9,0,IF(2070=2028+Inputs!$B$9,Inputs!$B$165,1))*(1+Inputs!$B$166)^(2070-2028-Inputs!$B$9)</f>
        <v>-18.336468768855</v>
      </c>
      <c r="AW18" s="41" t="n">
        <f aca="false">-Inputs!$B$163*IF(2071&lt;2028+Inputs!$B$9,0,IF(2071=2028+Inputs!$B$9,Inputs!$B$165,1))*(1+Inputs!$B$166)^(2071-2028-Inputs!$B$9)</f>
        <v>-18.7948804880763</v>
      </c>
      <c r="AX18" s="41" t="n">
        <f aca="false">-Inputs!$B$163*IF(2072&lt;2028+Inputs!$B$9,0,IF(2072=2028+Inputs!$B$9,Inputs!$B$165,1))*(1+Inputs!$B$166)^(2072-2028-Inputs!$B$9)</f>
        <v>-19.2647525002782</v>
      </c>
      <c r="AY18" s="41" t="n">
        <f aca="false">-Inputs!$B$163*IF(2073&lt;2028+Inputs!$B$9,0,IF(2073=2028+Inputs!$B$9,Inputs!$B$165,1))*(1+Inputs!$B$166)^(2073-2028-Inputs!$B$9)</f>
        <v>-19.7463713127852</v>
      </c>
      <c r="AZ18" s="41" t="n">
        <f aca="false">-Inputs!$B$163*IF(2074&lt;2028+Inputs!$B$9,0,IF(2074=2028+Inputs!$B$9,Inputs!$B$165,1))*(1+Inputs!$B$166)^(2074-2028-Inputs!$B$9)</f>
        <v>-20.2400305956048</v>
      </c>
    </row>
    <row r="19" customFormat="false" ht="15" hidden="false" customHeight="true" outlineLevel="0" collapsed="false">
      <c r="A19" s="13" t="s">
        <v>433</v>
      </c>
      <c r="B19" s="2"/>
      <c r="C19" s="41" t="n">
        <f aca="false">SUM(D19:AZ19)</f>
        <v>-435.839426476769</v>
      </c>
      <c r="D19" s="41" t="n">
        <f aca="false">-Inputs!$B$164*IF(2026&lt;2028+Inputs!$B$9,0,IF(2026=2028+Inputs!$B$9,Inputs!$B$165,1))*(1+Inputs!$B$166)^(2026-2028-Inputs!$B$9)</f>
        <v>-0</v>
      </c>
      <c r="E19" s="41" t="n">
        <f aca="false">-Inputs!$B$164*IF(2027&lt;2028+Inputs!$B$9,0,IF(2027=2028+Inputs!$B$9,Inputs!$B$165,1))*(1+Inputs!$B$166)^(2027-2028-Inputs!$B$9)</f>
        <v>-0</v>
      </c>
      <c r="F19" s="41" t="n">
        <f aca="false">-Inputs!$B$164*IF(2028&lt;2028+Inputs!$B$9,0,IF(2028=2028+Inputs!$B$9,Inputs!$B$165,1))*(1+Inputs!$B$166)^(2028-2028-Inputs!$B$9)</f>
        <v>-2.5</v>
      </c>
      <c r="G19" s="41" t="n">
        <f aca="false">-Inputs!$B$164*IF(2029&lt;2028+Inputs!$B$9,0,IF(2029=2028+Inputs!$B$9,Inputs!$B$165,1))*(1+Inputs!$B$166)^(2029-2028-Inputs!$B$9)</f>
        <v>-5.125</v>
      </c>
      <c r="H19" s="41" t="n">
        <f aca="false">-Inputs!$B$164*IF(2030&lt;2028+Inputs!$B$9,0,IF(2030=2028+Inputs!$B$9,Inputs!$B$165,1))*(1+Inputs!$B$166)^(2030-2028-Inputs!$B$9)</f>
        <v>-5.253125</v>
      </c>
      <c r="I19" s="41" t="n">
        <f aca="false">-Inputs!$B$164*IF(2031&lt;2028+Inputs!$B$9,0,IF(2031=2028+Inputs!$B$9,Inputs!$B$165,1))*(1+Inputs!$B$166)^(2031-2028-Inputs!$B$9)</f>
        <v>-5.384453125</v>
      </c>
      <c r="J19" s="41" t="n">
        <f aca="false">-Inputs!$B$164*IF(2032&lt;2028+Inputs!$B$9,0,IF(2032=2028+Inputs!$B$9,Inputs!$B$165,1))*(1+Inputs!$B$166)^(2032-2028-Inputs!$B$9)</f>
        <v>-5.519064453125</v>
      </c>
      <c r="K19" s="41" t="n">
        <f aca="false">-Inputs!$B$164*IF(2033&lt;2028+Inputs!$B$9,0,IF(2033=2028+Inputs!$B$9,Inputs!$B$165,1))*(1+Inputs!$B$166)^(2033-2028-Inputs!$B$9)</f>
        <v>-5.65704106445312</v>
      </c>
      <c r="L19" s="41" t="n">
        <f aca="false">-Inputs!$B$164*IF(2034&lt;2028+Inputs!$B$9,0,IF(2034=2028+Inputs!$B$9,Inputs!$B$165,1))*(1+Inputs!$B$166)^(2034-2028-Inputs!$B$9)</f>
        <v>-5.79846709106445</v>
      </c>
      <c r="M19" s="41" t="n">
        <f aca="false">-Inputs!$B$164*IF(2035&lt;2028+Inputs!$B$9,0,IF(2035=2028+Inputs!$B$9,Inputs!$B$165,1))*(1+Inputs!$B$166)^(2035-2028-Inputs!$B$9)</f>
        <v>-5.94342876834106</v>
      </c>
      <c r="N19" s="41" t="n">
        <f aca="false">-Inputs!$B$164*IF(2036&lt;2028+Inputs!$B$9,0,IF(2036=2028+Inputs!$B$9,Inputs!$B$165,1))*(1+Inputs!$B$166)^(2036-2028-Inputs!$B$9)</f>
        <v>-6.09201448754959</v>
      </c>
      <c r="O19" s="41" t="n">
        <f aca="false">-Inputs!$B$164*IF(2037&lt;2028+Inputs!$B$9,0,IF(2037=2028+Inputs!$B$9,Inputs!$B$165,1))*(1+Inputs!$B$166)^(2037-2028-Inputs!$B$9)</f>
        <v>-6.24431484973833</v>
      </c>
      <c r="P19" s="41" t="n">
        <f aca="false">-Inputs!$B$164*IF(2038&lt;2028+Inputs!$B$9,0,IF(2038=2028+Inputs!$B$9,Inputs!$B$165,1))*(1+Inputs!$B$166)^(2038-2028-Inputs!$B$9)</f>
        <v>-6.40042272098178</v>
      </c>
      <c r="Q19" s="41" t="n">
        <f aca="false">-Inputs!$B$164*IF(2039&lt;2028+Inputs!$B$9,0,IF(2039=2028+Inputs!$B$9,Inputs!$B$165,1))*(1+Inputs!$B$166)^(2039-2028-Inputs!$B$9)</f>
        <v>-6.56043328900633</v>
      </c>
      <c r="R19" s="41" t="n">
        <f aca="false">-Inputs!$B$164*IF(2040&lt;2028+Inputs!$B$9,0,IF(2040=2028+Inputs!$B$9,Inputs!$B$165,1))*(1+Inputs!$B$166)^(2040-2028-Inputs!$B$9)</f>
        <v>-6.72444412123149</v>
      </c>
      <c r="S19" s="41" t="n">
        <f aca="false">-Inputs!$B$164*IF(2041&lt;2028+Inputs!$B$9,0,IF(2041=2028+Inputs!$B$9,Inputs!$B$165,1))*(1+Inputs!$B$166)^(2041-2028-Inputs!$B$9)</f>
        <v>-6.89255522426227</v>
      </c>
      <c r="T19" s="41" t="n">
        <f aca="false">-Inputs!$B$164*IF(2042&lt;2028+Inputs!$B$9,0,IF(2042=2028+Inputs!$B$9,Inputs!$B$165,1))*(1+Inputs!$B$166)^(2042-2028-Inputs!$B$9)</f>
        <v>-7.06486910486883</v>
      </c>
      <c r="U19" s="41" t="n">
        <f aca="false">-Inputs!$B$164*IF(2043&lt;2028+Inputs!$B$9,0,IF(2043=2028+Inputs!$B$9,Inputs!$B$165,1))*(1+Inputs!$B$166)^(2043-2028-Inputs!$B$9)</f>
        <v>-7.24149083249055</v>
      </c>
      <c r="V19" s="41" t="n">
        <f aca="false">-Inputs!$B$164*IF(2044&lt;2028+Inputs!$B$9,0,IF(2044=2028+Inputs!$B$9,Inputs!$B$165,1))*(1+Inputs!$B$166)^(2044-2028-Inputs!$B$9)</f>
        <v>-7.42252810330281</v>
      </c>
      <c r="W19" s="41" t="n">
        <f aca="false">-Inputs!$B$164*IF(2045&lt;2028+Inputs!$B$9,0,IF(2045=2028+Inputs!$B$9,Inputs!$B$165,1))*(1+Inputs!$B$166)^(2045-2028-Inputs!$B$9)</f>
        <v>-7.60809130588538</v>
      </c>
      <c r="X19" s="41" t="n">
        <f aca="false">-Inputs!$B$164*IF(2046&lt;2028+Inputs!$B$9,0,IF(2046=2028+Inputs!$B$9,Inputs!$B$165,1))*(1+Inputs!$B$166)^(2046-2028-Inputs!$B$9)</f>
        <v>-7.79829358853251</v>
      </c>
      <c r="Y19" s="41" t="n">
        <f aca="false">-Inputs!$B$164*IF(2047&lt;2028+Inputs!$B$9,0,IF(2047=2028+Inputs!$B$9,Inputs!$B$165,1))*(1+Inputs!$B$166)^(2047-2028-Inputs!$B$9)</f>
        <v>-7.99325092824583</v>
      </c>
      <c r="Z19" s="41" t="n">
        <f aca="false">-Inputs!$B$164*IF(2048&lt;2028+Inputs!$B$9,0,IF(2048=2028+Inputs!$B$9,Inputs!$B$165,1))*(1+Inputs!$B$166)^(2048-2028-Inputs!$B$9)</f>
        <v>-8.19308220145197</v>
      </c>
      <c r="AA19" s="41" t="n">
        <f aca="false">-Inputs!$B$164*IF(2049&lt;2028+Inputs!$B$9,0,IF(2049=2028+Inputs!$B$9,Inputs!$B$165,1))*(1+Inputs!$B$166)^(2049-2028-Inputs!$B$9)</f>
        <v>-8.39790925648827</v>
      </c>
      <c r="AB19" s="41" t="n">
        <f aca="false">-Inputs!$B$164*IF(2050&lt;2028+Inputs!$B$9,0,IF(2050=2028+Inputs!$B$9,Inputs!$B$165,1))*(1+Inputs!$B$166)^(2050-2028-Inputs!$B$9)</f>
        <v>-8.60785698790048</v>
      </c>
      <c r="AC19" s="41" t="n">
        <f aca="false">-Inputs!$B$164*IF(2051&lt;2028+Inputs!$B$9,0,IF(2051=2028+Inputs!$B$9,Inputs!$B$165,1))*(1+Inputs!$B$166)^(2051-2028-Inputs!$B$9)</f>
        <v>-8.82305341259799</v>
      </c>
      <c r="AD19" s="41" t="n">
        <f aca="false">-Inputs!$B$164*IF(2052&lt;2028+Inputs!$B$9,0,IF(2052=2028+Inputs!$B$9,Inputs!$B$165,1))*(1+Inputs!$B$166)^(2052-2028-Inputs!$B$9)</f>
        <v>-9.04362974791294</v>
      </c>
      <c r="AE19" s="41" t="n">
        <f aca="false">-Inputs!$B$164*IF(2053&lt;2028+Inputs!$B$9,0,IF(2053=2028+Inputs!$B$9,Inputs!$B$165,1))*(1+Inputs!$B$166)^(2053-2028-Inputs!$B$9)</f>
        <v>-9.26972049161076</v>
      </c>
      <c r="AF19" s="41" t="n">
        <f aca="false">-Inputs!$B$164*IF(2054&lt;2028+Inputs!$B$9,0,IF(2054=2028+Inputs!$B$9,Inputs!$B$165,1))*(1+Inputs!$B$166)^(2054-2028-Inputs!$B$9)</f>
        <v>-9.50146350390103</v>
      </c>
      <c r="AG19" s="41" t="n">
        <f aca="false">-Inputs!$B$164*IF(2055&lt;2028+Inputs!$B$9,0,IF(2055=2028+Inputs!$B$9,Inputs!$B$165,1))*(1+Inputs!$B$166)^(2055-2028-Inputs!$B$9)</f>
        <v>-9.73900009149855</v>
      </c>
      <c r="AH19" s="41" t="n">
        <f aca="false">-Inputs!$B$164*IF(2056&lt;2028+Inputs!$B$9,0,IF(2056=2028+Inputs!$B$9,Inputs!$B$165,1))*(1+Inputs!$B$166)^(2056-2028-Inputs!$B$9)</f>
        <v>-9.98247509378601</v>
      </c>
      <c r="AI19" s="41" t="n">
        <f aca="false">-Inputs!$B$164*IF(2057&lt;2028+Inputs!$B$9,0,IF(2057=2028+Inputs!$B$9,Inputs!$B$165,1))*(1+Inputs!$B$166)^(2057-2028-Inputs!$B$9)</f>
        <v>-10.2320369711307</v>
      </c>
      <c r="AJ19" s="41" t="n">
        <f aca="false">-Inputs!$B$164*IF(2058&lt;2028+Inputs!$B$9,0,IF(2058=2028+Inputs!$B$9,Inputs!$B$165,1))*(1+Inputs!$B$166)^(2058-2028-Inputs!$B$9)</f>
        <v>-10.4878378954089</v>
      </c>
      <c r="AK19" s="41" t="n">
        <f aca="false">-Inputs!$B$164*IF(2059&lt;2028+Inputs!$B$9,0,IF(2059=2028+Inputs!$B$9,Inputs!$B$165,1))*(1+Inputs!$B$166)^(2059-2028-Inputs!$B$9)</f>
        <v>-10.7500338427942</v>
      </c>
      <c r="AL19" s="41" t="n">
        <f aca="false">-Inputs!$B$164*IF(2060&lt;2028+Inputs!$B$9,0,IF(2060=2028+Inputs!$B$9,Inputs!$B$165,1))*(1+Inputs!$B$166)^(2060-2028-Inputs!$B$9)</f>
        <v>-11.018784688864</v>
      </c>
      <c r="AM19" s="41" t="n">
        <f aca="false">-Inputs!$B$164*IF(2061&lt;2028+Inputs!$B$9,0,IF(2061=2028+Inputs!$B$9,Inputs!$B$165,1))*(1+Inputs!$B$166)^(2061-2028-Inputs!$B$9)</f>
        <v>-11.2942543060856</v>
      </c>
      <c r="AN19" s="41" t="n">
        <f aca="false">-Inputs!$B$164*IF(2062&lt;2028+Inputs!$B$9,0,IF(2062=2028+Inputs!$B$9,Inputs!$B$165,1))*(1+Inputs!$B$166)^(2062-2028-Inputs!$B$9)</f>
        <v>-11.5766106637377</v>
      </c>
      <c r="AO19" s="41" t="n">
        <f aca="false">-Inputs!$B$164*IF(2063&lt;2028+Inputs!$B$9,0,IF(2063=2028+Inputs!$B$9,Inputs!$B$165,1))*(1+Inputs!$B$166)^(2063-2028-Inputs!$B$9)</f>
        <v>-11.8660259303312</v>
      </c>
      <c r="AP19" s="41" t="n">
        <f aca="false">-Inputs!$B$164*IF(2064&lt;2028+Inputs!$B$9,0,IF(2064=2028+Inputs!$B$9,Inputs!$B$165,1))*(1+Inputs!$B$166)^(2064-2028-Inputs!$B$9)</f>
        <v>-12.1626765785895</v>
      </c>
      <c r="AQ19" s="41" t="n">
        <f aca="false">-Inputs!$B$164*IF(2065&lt;2028+Inputs!$B$9,0,IF(2065=2028+Inputs!$B$9,Inputs!$B$165,1))*(1+Inputs!$B$166)^(2065-2028-Inputs!$B$9)</f>
        <v>-12.4667434930542</v>
      </c>
      <c r="AR19" s="41" t="n">
        <f aca="false">-Inputs!$B$164*IF(2066&lt;2028+Inputs!$B$9,0,IF(2066=2028+Inputs!$B$9,Inputs!$B$165,1))*(1+Inputs!$B$166)^(2066-2028-Inputs!$B$9)</f>
        <v>-12.7784120803806</v>
      </c>
      <c r="AS19" s="41" t="n">
        <f aca="false">-Inputs!$B$164*IF(2067&lt;2028+Inputs!$B$9,0,IF(2067=2028+Inputs!$B$9,Inputs!$B$165,1))*(1+Inputs!$B$166)^(2067-2028-Inputs!$B$9)</f>
        <v>-13.0978723823901</v>
      </c>
      <c r="AT19" s="41" t="n">
        <f aca="false">-Inputs!$B$164*IF(2068&lt;2028+Inputs!$B$9,0,IF(2068=2028+Inputs!$B$9,Inputs!$B$165,1))*(1+Inputs!$B$166)^(2068-2028-Inputs!$B$9)</f>
        <v>-13.4253191919498</v>
      </c>
      <c r="AU19" s="41" t="n">
        <f aca="false">-Inputs!$B$164*IF(2069&lt;2028+Inputs!$B$9,0,IF(2069=2028+Inputs!$B$9,Inputs!$B$165,1))*(1+Inputs!$B$166)^(2069-2028-Inputs!$B$9)</f>
        <v>-13.7609521717486</v>
      </c>
      <c r="AV19" s="41" t="n">
        <f aca="false">-Inputs!$B$164*IF(2070&lt;2028+Inputs!$B$9,0,IF(2070=2028+Inputs!$B$9,Inputs!$B$165,1))*(1+Inputs!$B$166)^(2070-2028-Inputs!$B$9)</f>
        <v>-14.1049759760423</v>
      </c>
      <c r="AW19" s="41" t="n">
        <f aca="false">-Inputs!$B$164*IF(2071&lt;2028+Inputs!$B$9,0,IF(2071=2028+Inputs!$B$9,Inputs!$B$165,1))*(1+Inputs!$B$166)^(2071-2028-Inputs!$B$9)</f>
        <v>-14.4576003754433</v>
      </c>
      <c r="AX19" s="41" t="n">
        <f aca="false">-Inputs!$B$164*IF(2072&lt;2028+Inputs!$B$9,0,IF(2072=2028+Inputs!$B$9,Inputs!$B$165,1))*(1+Inputs!$B$166)^(2072-2028-Inputs!$B$9)</f>
        <v>-14.8190403848294</v>
      </c>
      <c r="AY19" s="41" t="n">
        <f aca="false">-Inputs!$B$164*IF(2073&lt;2028+Inputs!$B$9,0,IF(2073=2028+Inputs!$B$9,Inputs!$B$165,1))*(1+Inputs!$B$166)^(2073-2028-Inputs!$B$9)</f>
        <v>-15.1895163944501</v>
      </c>
      <c r="AZ19" s="41" t="n">
        <f aca="false">-Inputs!$B$164*IF(2074&lt;2028+Inputs!$B$9,0,IF(2074=2028+Inputs!$B$9,Inputs!$B$165,1))*(1+Inputs!$B$166)^(2074-2028-Inputs!$B$9)</f>
        <v>-15.5692543043114</v>
      </c>
    </row>
    <row r="20" customFormat="false" ht="15" hidden="false" customHeight="true" outlineLevel="0" collapsed="false">
      <c r="A20" s="13" t="s">
        <v>434</v>
      </c>
      <c r="B20" s="2"/>
      <c r="C20" s="41" t="n">
        <f aca="false">SUM(D20:AZ20)</f>
        <v>0</v>
      </c>
      <c r="D20" s="41" t="n">
        <f aca="false">-Inputs!$B$13*(D6*Inputs!$B$14+D7*Inputs!$B$15+D8*Inputs!$B$16)</f>
        <v>-0</v>
      </c>
      <c r="E20" s="41" t="n">
        <f aca="false">-Inputs!$B$13*(E6*Inputs!$B$14+E7*Inputs!$B$15+E8*Inputs!$B$16)</f>
        <v>-0</v>
      </c>
      <c r="F20" s="41" t="n">
        <f aca="false">-Inputs!$B$13*(F6*Inputs!$B$14+F7*Inputs!$B$15+F8*Inputs!$B$16)</f>
        <v>-0</v>
      </c>
      <c r="G20" s="41" t="n">
        <f aca="false">-Inputs!$B$13*(G6*Inputs!$B$14+G7*Inputs!$B$15+G8*Inputs!$B$16)</f>
        <v>-0</v>
      </c>
      <c r="H20" s="41" t="n">
        <f aca="false">-Inputs!$B$13*(H6*Inputs!$B$14+H7*Inputs!$B$15+H8*Inputs!$B$16)</f>
        <v>-0</v>
      </c>
      <c r="I20" s="41" t="n">
        <f aca="false">-Inputs!$B$13*(I6*Inputs!$B$14+I7*Inputs!$B$15+I8*Inputs!$B$16)</f>
        <v>-0</v>
      </c>
      <c r="J20" s="41" t="n">
        <f aca="false">-Inputs!$B$13*(J6*Inputs!$B$14+J7*Inputs!$B$15+J8*Inputs!$B$16)</f>
        <v>-0</v>
      </c>
      <c r="K20" s="41" t="n">
        <f aca="false">-Inputs!$B$13*(K6*Inputs!$B$14+K7*Inputs!$B$15+K8*Inputs!$B$16)</f>
        <v>-0</v>
      </c>
      <c r="L20" s="41" t="n">
        <f aca="false">-Inputs!$B$13*(L6*Inputs!$B$14+L7*Inputs!$B$15+L8*Inputs!$B$16)</f>
        <v>-0</v>
      </c>
      <c r="M20" s="41" t="n">
        <f aca="false">-Inputs!$B$13*(M6*Inputs!$B$14+M7*Inputs!$B$15+M8*Inputs!$B$16)</f>
        <v>-0</v>
      </c>
      <c r="N20" s="41" t="n">
        <f aca="false">-Inputs!$B$13*(N6*Inputs!$B$14+N7*Inputs!$B$15+N8*Inputs!$B$16)</f>
        <v>-0</v>
      </c>
      <c r="O20" s="41" t="n">
        <f aca="false">-Inputs!$B$13*(O6*Inputs!$B$14+O7*Inputs!$B$15+O8*Inputs!$B$16)</f>
        <v>-0</v>
      </c>
      <c r="P20" s="41" t="n">
        <f aca="false">-Inputs!$B$13*(P6*Inputs!$B$14+P7*Inputs!$B$15+P8*Inputs!$B$16)</f>
        <v>-0</v>
      </c>
      <c r="Q20" s="41" t="n">
        <f aca="false">-Inputs!$B$13*(Q6*Inputs!$B$14+Q7*Inputs!$B$15+Q8*Inputs!$B$16)</f>
        <v>-0</v>
      </c>
      <c r="R20" s="41" t="n">
        <f aca="false">-Inputs!$B$13*(R6*Inputs!$B$14+R7*Inputs!$B$15+R8*Inputs!$B$16)</f>
        <v>-0</v>
      </c>
      <c r="S20" s="41" t="n">
        <f aca="false">-Inputs!$B$13*(S6*Inputs!$B$14+S7*Inputs!$B$15+S8*Inputs!$B$16)</f>
        <v>-0</v>
      </c>
      <c r="T20" s="41" t="n">
        <f aca="false">-Inputs!$B$13*(T6*Inputs!$B$14+T7*Inputs!$B$15+T8*Inputs!$B$16)</f>
        <v>-0</v>
      </c>
      <c r="U20" s="41" t="n">
        <f aca="false">-Inputs!$B$13*(U6*Inputs!$B$14+U7*Inputs!$B$15+U8*Inputs!$B$16)</f>
        <v>-0</v>
      </c>
      <c r="V20" s="41" t="n">
        <f aca="false">-Inputs!$B$13*(V6*Inputs!$B$14+V7*Inputs!$B$15+V8*Inputs!$B$16)</f>
        <v>-0</v>
      </c>
      <c r="W20" s="41" t="n">
        <f aca="false">-Inputs!$B$13*(W6*Inputs!$B$14+W7*Inputs!$B$15+W8*Inputs!$B$16)</f>
        <v>-0</v>
      </c>
      <c r="X20" s="41" t="n">
        <f aca="false">-Inputs!$B$13*(X6*Inputs!$B$14+X7*Inputs!$B$15+X8*Inputs!$B$16)</f>
        <v>-0</v>
      </c>
      <c r="Y20" s="41" t="n">
        <f aca="false">-Inputs!$B$13*(Y6*Inputs!$B$14+Y7*Inputs!$B$15+Y8*Inputs!$B$16)</f>
        <v>-0</v>
      </c>
      <c r="Z20" s="41" t="n">
        <f aca="false">-Inputs!$B$13*(Z6*Inputs!$B$14+Z7*Inputs!$B$15+Z8*Inputs!$B$16)</f>
        <v>-0</v>
      </c>
      <c r="AA20" s="41" t="n">
        <f aca="false">-Inputs!$B$13*(AA6*Inputs!$B$14+AA7*Inputs!$B$15+AA8*Inputs!$B$16)</f>
        <v>-0</v>
      </c>
      <c r="AB20" s="41" t="n">
        <f aca="false">-Inputs!$B$13*(AB6*Inputs!$B$14+AB7*Inputs!$B$15+AB8*Inputs!$B$16)</f>
        <v>-0</v>
      </c>
      <c r="AC20" s="41" t="n">
        <f aca="false">-Inputs!$B$13*(AC6*Inputs!$B$14+AC7*Inputs!$B$15+AC8*Inputs!$B$16)</f>
        <v>-0</v>
      </c>
      <c r="AD20" s="41" t="n">
        <f aca="false">-Inputs!$B$13*(AD6*Inputs!$B$14+AD7*Inputs!$B$15+AD8*Inputs!$B$16)</f>
        <v>-0</v>
      </c>
      <c r="AE20" s="41" t="n">
        <f aca="false">-Inputs!$B$13*(AE6*Inputs!$B$14+AE7*Inputs!$B$15+AE8*Inputs!$B$16)</f>
        <v>-0</v>
      </c>
      <c r="AF20" s="41" t="n">
        <f aca="false">-Inputs!$B$13*(AF6*Inputs!$B$14+AF7*Inputs!$B$15+AF8*Inputs!$B$16)</f>
        <v>-0</v>
      </c>
      <c r="AG20" s="41" t="n">
        <f aca="false">-Inputs!$B$13*(AG6*Inputs!$B$14+AG7*Inputs!$B$15+AG8*Inputs!$B$16)</f>
        <v>-0</v>
      </c>
      <c r="AH20" s="41" t="n">
        <f aca="false">-Inputs!$B$13*(AH6*Inputs!$B$14+AH7*Inputs!$B$15+AH8*Inputs!$B$16)</f>
        <v>-0</v>
      </c>
      <c r="AI20" s="41" t="n">
        <f aca="false">-Inputs!$B$13*(AI6*Inputs!$B$14+AI7*Inputs!$B$15+AI8*Inputs!$B$16)</f>
        <v>-0</v>
      </c>
      <c r="AJ20" s="41" t="n">
        <f aca="false">-Inputs!$B$13*(AJ6*Inputs!$B$14+AJ7*Inputs!$B$15+AJ8*Inputs!$B$16)</f>
        <v>-0</v>
      </c>
      <c r="AK20" s="41" t="n">
        <f aca="false">-Inputs!$B$13*(AK6*Inputs!$B$14+AK7*Inputs!$B$15+AK8*Inputs!$B$16)</f>
        <v>-0</v>
      </c>
      <c r="AL20" s="41" t="n">
        <f aca="false">-Inputs!$B$13*(AL6*Inputs!$B$14+AL7*Inputs!$B$15+AL8*Inputs!$B$16)</f>
        <v>-0</v>
      </c>
      <c r="AM20" s="41" t="n">
        <f aca="false">-Inputs!$B$13*(AM6*Inputs!$B$14+AM7*Inputs!$B$15+AM8*Inputs!$B$16)</f>
        <v>-0</v>
      </c>
      <c r="AN20" s="41" t="n">
        <f aca="false">-Inputs!$B$13*(AN6*Inputs!$B$14+AN7*Inputs!$B$15+AN8*Inputs!$B$16)</f>
        <v>-0</v>
      </c>
      <c r="AO20" s="41" t="n">
        <f aca="false">-Inputs!$B$13*(AO6*Inputs!$B$14+AO7*Inputs!$B$15+AO8*Inputs!$B$16)</f>
        <v>-0</v>
      </c>
      <c r="AP20" s="41" t="n">
        <f aca="false">-Inputs!$B$13*(AP6*Inputs!$B$14+AP7*Inputs!$B$15+AP8*Inputs!$B$16)</f>
        <v>-0</v>
      </c>
      <c r="AQ20" s="41" t="n">
        <f aca="false">-Inputs!$B$13*(AQ6*Inputs!$B$14+AQ7*Inputs!$B$15+AQ8*Inputs!$B$16)</f>
        <v>-0</v>
      </c>
      <c r="AR20" s="41" t="n">
        <f aca="false">-Inputs!$B$13*(AR6*Inputs!$B$14+AR7*Inputs!$B$15+AR8*Inputs!$B$16)</f>
        <v>-0</v>
      </c>
      <c r="AS20" s="41" t="n">
        <f aca="false">-Inputs!$B$13*(AS6*Inputs!$B$14+AS7*Inputs!$B$15+AS8*Inputs!$B$16)</f>
        <v>-0</v>
      </c>
      <c r="AT20" s="41" t="n">
        <f aca="false">-Inputs!$B$13*(AT6*Inputs!$B$14+AT7*Inputs!$B$15+AT8*Inputs!$B$16)</f>
        <v>-0</v>
      </c>
      <c r="AU20" s="41" t="n">
        <f aca="false">-Inputs!$B$13*(AU6*Inputs!$B$14+AU7*Inputs!$B$15+AU8*Inputs!$B$16)</f>
        <v>-0</v>
      </c>
      <c r="AV20" s="41" t="n">
        <f aca="false">-Inputs!$B$13*(AV6*Inputs!$B$14+AV7*Inputs!$B$15+AV8*Inputs!$B$16)</f>
        <v>-0</v>
      </c>
      <c r="AW20" s="41" t="n">
        <f aca="false">-Inputs!$B$13*(AW6*Inputs!$B$14+AW7*Inputs!$B$15+AW8*Inputs!$B$16)</f>
        <v>-0</v>
      </c>
      <c r="AX20" s="41" t="n">
        <f aca="false">-Inputs!$B$13*(AX6*Inputs!$B$14+AX7*Inputs!$B$15+AX8*Inputs!$B$16)</f>
        <v>-0</v>
      </c>
      <c r="AY20" s="41" t="n">
        <f aca="false">-Inputs!$B$13*(AY6*Inputs!$B$14+AY7*Inputs!$B$15+AY8*Inputs!$B$16)</f>
        <v>-0</v>
      </c>
      <c r="AZ20" s="41" t="n">
        <f aca="false">-Inputs!$B$13*(AZ6*Inputs!$B$14+AZ7*Inputs!$B$15+AZ8*Inputs!$B$16)</f>
        <v>-0</v>
      </c>
    </row>
    <row r="21" customFormat="false" ht="15" hidden="false" customHeight="true" outlineLevel="0" collapsed="false">
      <c r="A21" s="13" t="s">
        <v>435</v>
      </c>
      <c r="B21" s="2"/>
      <c r="C21" s="41" t="n">
        <f aca="false">SUM(D21:AZ21)</f>
        <v>-111.7129585</v>
      </c>
      <c r="D21" s="41" t="n">
        <f aca="false">-Inputs!$B$167*MAX(0,MIN(1,2026+1-Inputs!$B$168))</f>
        <v>-0</v>
      </c>
      <c r="E21" s="41" t="n">
        <f aca="false">-Inputs!$B$167*MAX(0,MIN(1,2027+1-Inputs!$B$168))</f>
        <v>-0</v>
      </c>
      <c r="F21" s="41" t="n">
        <f aca="false">-Inputs!$B$167*MAX(0,MIN(1,2028+1-Inputs!$B$168))</f>
        <v>-1.7921865</v>
      </c>
      <c r="G21" s="41" t="n">
        <f aca="false">-Inputs!$B$167*MAX(0,MIN(1,2029+1-Inputs!$B$168))</f>
        <v>-2.389582</v>
      </c>
      <c r="H21" s="41" t="n">
        <f aca="false">-Inputs!$B$167*MAX(0,MIN(1,2030+1-Inputs!$B$168))</f>
        <v>-2.389582</v>
      </c>
      <c r="I21" s="41" t="n">
        <f aca="false">-Inputs!$B$167*MAX(0,MIN(1,2031+1-Inputs!$B$168))</f>
        <v>-2.389582</v>
      </c>
      <c r="J21" s="41" t="n">
        <f aca="false">-Inputs!$B$167*MAX(0,MIN(1,2032+1-Inputs!$B$168))</f>
        <v>-2.389582</v>
      </c>
      <c r="K21" s="41" t="n">
        <f aca="false">-Inputs!$B$167*MAX(0,MIN(1,2033+1-Inputs!$B$168))</f>
        <v>-2.389582</v>
      </c>
      <c r="L21" s="41" t="n">
        <f aca="false">-Inputs!$B$167*MAX(0,MIN(1,2034+1-Inputs!$B$168))</f>
        <v>-2.389582</v>
      </c>
      <c r="M21" s="41" t="n">
        <f aca="false">-Inputs!$B$167*MAX(0,MIN(1,2035+1-Inputs!$B$168))</f>
        <v>-2.389582</v>
      </c>
      <c r="N21" s="41" t="n">
        <f aca="false">-Inputs!$B$167*MAX(0,MIN(1,2036+1-Inputs!$B$168))</f>
        <v>-2.389582</v>
      </c>
      <c r="O21" s="41" t="n">
        <f aca="false">-Inputs!$B$167*MAX(0,MIN(1,2037+1-Inputs!$B$168))</f>
        <v>-2.389582</v>
      </c>
      <c r="P21" s="41" t="n">
        <f aca="false">-Inputs!$B$167*MAX(0,MIN(1,2038+1-Inputs!$B$168))</f>
        <v>-2.389582</v>
      </c>
      <c r="Q21" s="41" t="n">
        <f aca="false">-Inputs!$B$167*MAX(0,MIN(1,2039+1-Inputs!$B$168))</f>
        <v>-2.389582</v>
      </c>
      <c r="R21" s="41" t="n">
        <f aca="false">-Inputs!$B$167*MAX(0,MIN(1,2040+1-Inputs!$B$168))</f>
        <v>-2.389582</v>
      </c>
      <c r="S21" s="41" t="n">
        <f aca="false">-Inputs!$B$167*MAX(0,MIN(1,2041+1-Inputs!$B$168))</f>
        <v>-2.389582</v>
      </c>
      <c r="T21" s="41" t="n">
        <f aca="false">-Inputs!$B$167*MAX(0,MIN(1,2042+1-Inputs!$B$168))</f>
        <v>-2.389582</v>
      </c>
      <c r="U21" s="41" t="n">
        <f aca="false">-Inputs!$B$167*MAX(0,MIN(1,2043+1-Inputs!$B$168))</f>
        <v>-2.389582</v>
      </c>
      <c r="V21" s="41" t="n">
        <f aca="false">-Inputs!$B$167*MAX(0,MIN(1,2044+1-Inputs!$B$168))</f>
        <v>-2.389582</v>
      </c>
      <c r="W21" s="41" t="n">
        <f aca="false">-Inputs!$B$167*MAX(0,MIN(1,2045+1-Inputs!$B$168))</f>
        <v>-2.389582</v>
      </c>
      <c r="X21" s="41" t="n">
        <f aca="false">-Inputs!$B$167*MAX(0,MIN(1,2046+1-Inputs!$B$168))</f>
        <v>-2.389582</v>
      </c>
      <c r="Y21" s="41" t="n">
        <f aca="false">-Inputs!$B$167*MAX(0,MIN(1,2047+1-Inputs!$B$168))</f>
        <v>-2.389582</v>
      </c>
      <c r="Z21" s="41" t="n">
        <f aca="false">-Inputs!$B$167*MAX(0,MIN(1,2048+1-Inputs!$B$168))</f>
        <v>-2.389582</v>
      </c>
      <c r="AA21" s="41" t="n">
        <f aca="false">-Inputs!$B$167*MAX(0,MIN(1,2049+1-Inputs!$B$168))</f>
        <v>-2.389582</v>
      </c>
      <c r="AB21" s="41" t="n">
        <f aca="false">-Inputs!$B$167*MAX(0,MIN(1,2050+1-Inputs!$B$168))</f>
        <v>-2.389582</v>
      </c>
      <c r="AC21" s="41" t="n">
        <f aca="false">-Inputs!$B$167*MAX(0,MIN(1,2051+1-Inputs!$B$168))</f>
        <v>-2.389582</v>
      </c>
      <c r="AD21" s="41" t="n">
        <f aca="false">-Inputs!$B$167*MAX(0,MIN(1,2052+1-Inputs!$B$168))</f>
        <v>-2.389582</v>
      </c>
      <c r="AE21" s="41" t="n">
        <f aca="false">-Inputs!$B$167*MAX(0,MIN(1,2053+1-Inputs!$B$168))</f>
        <v>-2.389582</v>
      </c>
      <c r="AF21" s="41" t="n">
        <f aca="false">-Inputs!$B$167*MAX(0,MIN(1,2054+1-Inputs!$B$168))</f>
        <v>-2.389582</v>
      </c>
      <c r="AG21" s="41" t="n">
        <f aca="false">-Inputs!$B$167*MAX(0,MIN(1,2055+1-Inputs!$B$168))</f>
        <v>-2.389582</v>
      </c>
      <c r="AH21" s="41" t="n">
        <f aca="false">-Inputs!$B$167*MAX(0,MIN(1,2056+1-Inputs!$B$168))</f>
        <v>-2.389582</v>
      </c>
      <c r="AI21" s="41" t="n">
        <f aca="false">-Inputs!$B$167*MAX(0,MIN(1,2057+1-Inputs!$B$168))</f>
        <v>-2.389582</v>
      </c>
      <c r="AJ21" s="41" t="n">
        <f aca="false">-Inputs!$B$167*MAX(0,MIN(1,2058+1-Inputs!$B$168))</f>
        <v>-2.389582</v>
      </c>
      <c r="AK21" s="41" t="n">
        <f aca="false">-Inputs!$B$167*MAX(0,MIN(1,2059+1-Inputs!$B$168))</f>
        <v>-2.389582</v>
      </c>
      <c r="AL21" s="41" t="n">
        <f aca="false">-Inputs!$B$167*MAX(0,MIN(1,2060+1-Inputs!$B$168))</f>
        <v>-2.389582</v>
      </c>
      <c r="AM21" s="41" t="n">
        <f aca="false">-Inputs!$B$167*MAX(0,MIN(1,2061+1-Inputs!$B$168))</f>
        <v>-2.389582</v>
      </c>
      <c r="AN21" s="41" t="n">
        <f aca="false">-Inputs!$B$167*MAX(0,MIN(1,2062+1-Inputs!$B$168))</f>
        <v>-2.389582</v>
      </c>
      <c r="AO21" s="41" t="n">
        <f aca="false">-Inputs!$B$167*MAX(0,MIN(1,2063+1-Inputs!$B$168))</f>
        <v>-2.389582</v>
      </c>
      <c r="AP21" s="41" t="n">
        <f aca="false">-Inputs!$B$167*MAX(0,MIN(1,2064+1-Inputs!$B$168))</f>
        <v>-2.389582</v>
      </c>
      <c r="AQ21" s="41" t="n">
        <f aca="false">-Inputs!$B$167*MAX(0,MIN(1,2065+1-Inputs!$B$168))</f>
        <v>-2.389582</v>
      </c>
      <c r="AR21" s="41" t="n">
        <f aca="false">-Inputs!$B$167*MAX(0,MIN(1,2066+1-Inputs!$B$168))</f>
        <v>-2.389582</v>
      </c>
      <c r="AS21" s="41" t="n">
        <f aca="false">-Inputs!$B$167*MAX(0,MIN(1,2067+1-Inputs!$B$168))</f>
        <v>-2.389582</v>
      </c>
      <c r="AT21" s="41" t="n">
        <f aca="false">-Inputs!$B$167*MAX(0,MIN(1,2068+1-Inputs!$B$168))</f>
        <v>-2.389582</v>
      </c>
      <c r="AU21" s="41" t="n">
        <f aca="false">-Inputs!$B$167*MAX(0,MIN(1,2069+1-Inputs!$B$168))</f>
        <v>-2.389582</v>
      </c>
      <c r="AV21" s="41" t="n">
        <f aca="false">-Inputs!$B$167*MAX(0,MIN(1,2070+1-Inputs!$B$168))</f>
        <v>-2.389582</v>
      </c>
      <c r="AW21" s="41" t="n">
        <f aca="false">-Inputs!$B$167*MAX(0,MIN(1,2071+1-Inputs!$B$168))</f>
        <v>-2.389582</v>
      </c>
      <c r="AX21" s="41" t="n">
        <f aca="false">-Inputs!$B$167*MAX(0,MIN(1,2072+1-Inputs!$B$168))</f>
        <v>-2.389582</v>
      </c>
      <c r="AY21" s="41" t="n">
        <f aca="false">-Inputs!$B$167*MAX(0,MIN(1,2073+1-Inputs!$B$168))</f>
        <v>-2.389582</v>
      </c>
      <c r="AZ21" s="41" t="n">
        <f aca="false">-Inputs!$B$167*MAX(0,MIN(1,2074+1-Inputs!$B$168))</f>
        <v>-2.389582</v>
      </c>
    </row>
    <row r="22" customFormat="false" ht="15" hidden="false" customHeight="true" outlineLevel="0" collapsed="false">
      <c r="A22" s="13" t="s">
        <v>436</v>
      </c>
      <c r="B22" s="2"/>
      <c r="C22" s="41" t="n">
        <f aca="false">SUM(D22:AZ22)</f>
        <v>-506.419329447643</v>
      </c>
      <c r="D22" s="41" t="n">
        <f aca="false">-D9*Inputs!$B$169</f>
        <v>-0</v>
      </c>
      <c r="E22" s="41" t="n">
        <f aca="false">-E9*Inputs!$B$169</f>
        <v>-0</v>
      </c>
      <c r="F22" s="41" t="n">
        <f aca="false">-F9*Inputs!$B$169</f>
        <v>-0.706336832772056</v>
      </c>
      <c r="G22" s="41" t="n">
        <f aca="false">-G9*Inputs!$B$169</f>
        <v>-3.8779588478748</v>
      </c>
      <c r="H22" s="41" t="n">
        <f aca="false">-H9*Inputs!$B$169</f>
        <v>-5.2654333600217</v>
      </c>
      <c r="I22" s="41" t="n">
        <f aca="false">-I9*Inputs!$B$169</f>
        <v>-5.69917450133806</v>
      </c>
      <c r="J22" s="41" t="n">
        <f aca="false">-J9*Inputs!$B$169</f>
        <v>-5.88156362818213</v>
      </c>
      <c r="K22" s="41" t="n">
        <f aca="false">-K9*Inputs!$B$169</f>
        <v>-6.06938005472945</v>
      </c>
      <c r="L22" s="41" t="n">
        <f aca="false">-L9*Inputs!$B$169</f>
        <v>-6.39446393822882</v>
      </c>
      <c r="M22" s="41" t="n">
        <f aca="false">-M9*Inputs!$B$169</f>
        <v>-6.61622491166462</v>
      </c>
      <c r="N22" s="41" t="n">
        <f aca="false">-N9*Inputs!$B$169</f>
        <v>-6.81346416661336</v>
      </c>
      <c r="O22" s="41" t="n">
        <f aca="false">-O9*Inputs!$B$169</f>
        <v>-7.14109713021435</v>
      </c>
      <c r="P22" s="41" t="n">
        <f aca="false">-P9*Inputs!$B$169</f>
        <v>-7.34008763643313</v>
      </c>
      <c r="Q22" s="41" t="n">
        <f aca="false">-Q9*Inputs!$B$169</f>
        <v>-7.55145221683934</v>
      </c>
      <c r="R22" s="41" t="n">
        <f aca="false">-R9*Inputs!$B$169</f>
        <v>-7.91507504490221</v>
      </c>
      <c r="S22" s="41" t="n">
        <f aca="false">-S9*Inputs!$B$169</f>
        <v>-8.06633752399969</v>
      </c>
      <c r="T22" s="41" t="n">
        <f aca="false">-T9*Inputs!$B$169</f>
        <v>-8.22121425688523</v>
      </c>
      <c r="U22" s="41" t="n">
        <f aca="false">-U9*Inputs!$B$169</f>
        <v>-8.53596746526518</v>
      </c>
      <c r="V22" s="41" t="n">
        <f aca="false">-V9*Inputs!$B$169</f>
        <v>-8.69833476698383</v>
      </c>
      <c r="W22" s="41" t="n">
        <f aca="false">-W9*Inputs!$B$169</f>
        <v>-8.86458260357222</v>
      </c>
      <c r="X22" s="41" t="n">
        <f aca="false">-X9*Inputs!$B$169</f>
        <v>-9.20659715944844</v>
      </c>
      <c r="Y22" s="41" t="n">
        <f aca="false">-Y9*Inputs!$B$169</f>
        <v>-9.38088750092896</v>
      </c>
      <c r="Z22" s="41" t="n">
        <f aca="false">-Z9*Inputs!$B$169</f>
        <v>-9.55934434524433</v>
      </c>
      <c r="AA22" s="41" t="n">
        <f aca="false">-AA9*Inputs!$B$169</f>
        <v>-9.93104007034027</v>
      </c>
      <c r="AB22" s="41" t="n">
        <f aca="false">-AB9*Inputs!$B$169</f>
        <v>-10.1181321664396</v>
      </c>
      <c r="AC22" s="41" t="n">
        <f aca="false">-AC9*Inputs!$B$169</f>
        <v>-10.3096978805762</v>
      </c>
      <c r="AD22" s="41" t="n">
        <f aca="false">-AD9*Inputs!$B$169</f>
        <v>-10.7137142259601</v>
      </c>
      <c r="AE22" s="41" t="n">
        <f aca="false">-AE9*Inputs!$B$169</f>
        <v>-10.9145517772448</v>
      </c>
      <c r="AF22" s="41" t="n">
        <f aca="false">-AF9*Inputs!$B$169</f>
        <v>-11.1201927780301</v>
      </c>
      <c r="AG22" s="41" t="n">
        <f aca="false">-AG9*Inputs!$B$169</f>
        <v>-11.5594091496421</v>
      </c>
      <c r="AH22" s="41" t="n">
        <f aca="false">-AH9*Inputs!$B$169</f>
        <v>-11.7750056643707</v>
      </c>
      <c r="AI22" s="41" t="n">
        <f aca="false">-AI9*Inputs!$B$169</f>
        <v>-11.9957598621272</v>
      </c>
      <c r="AJ22" s="41" t="n">
        <f aca="false">-AJ9*Inputs!$B$169</f>
        <v>-12.4733178584698</v>
      </c>
      <c r="AK22" s="41" t="n">
        <f aca="false">-AK9*Inputs!$B$169</f>
        <v>-12.7047618334923</v>
      </c>
      <c r="AL22" s="41" t="n">
        <f aca="false">-AL9*Inputs!$B$169</f>
        <v>-12.9417439384348</v>
      </c>
      <c r="AM22" s="41" t="n">
        <f aca="false">-AM9*Inputs!$B$169</f>
        <v>-13.4610716827586</v>
      </c>
      <c r="AN22" s="41" t="n">
        <f aca="false">-AN9*Inputs!$B$169</f>
        <v>-13.7095321701275</v>
      </c>
      <c r="AO22" s="41" t="n">
        <f aca="false">-AO9*Inputs!$B$169</f>
        <v>-13.9639393938414</v>
      </c>
      <c r="AP22" s="41" t="n">
        <f aca="false">-AP9*Inputs!$B$169</f>
        <v>-14.5287781607349</v>
      </c>
      <c r="AQ22" s="41" t="n">
        <f aca="false">-AQ9*Inputs!$B$169</f>
        <v>-14.7955107488288</v>
      </c>
      <c r="AR22" s="41" t="n">
        <f aca="false">-AR9*Inputs!$B$169</f>
        <v>-15.0686289303322</v>
      </c>
      <c r="AS22" s="41" t="n">
        <f aca="false">-AS9*Inputs!$B$169</f>
        <v>-15.683062285909</v>
      </c>
      <c r="AT22" s="41" t="n">
        <f aca="false">-AT9*Inputs!$B$169</f>
        <v>-15.9694155260238</v>
      </c>
      <c r="AU22" s="41" t="n">
        <f aca="false">-AU9*Inputs!$B$169</f>
        <v>-16.2626257141235</v>
      </c>
      <c r="AV22" s="41" t="n">
        <f aca="false">-AV9*Inputs!$B$169</f>
        <v>-16.9311114101592</v>
      </c>
      <c r="AW22" s="41" t="n">
        <f aca="false">-AW9*Inputs!$B$169</f>
        <v>-17.2385337218429</v>
      </c>
      <c r="AX22" s="41" t="n">
        <f aca="false">-AX9*Inputs!$B$169</f>
        <v>-17.5533192478701</v>
      </c>
      <c r="AY22" s="41" t="n">
        <f aca="false">-AY9*Inputs!$B$169</f>
        <v>-18.280724133462</v>
      </c>
      <c r="AZ22" s="41" t="n">
        <f aca="false">-AZ9*Inputs!$B$169</f>
        <v>-18.6107712243597</v>
      </c>
    </row>
    <row r="23" customFormat="false" ht="15" hidden="false" customHeight="true" outlineLevel="0" collapsed="false">
      <c r="A23" s="6" t="s">
        <v>437</v>
      </c>
      <c r="B23" s="2"/>
      <c r="C23" s="44" t="n">
        <f aca="false">SUM(D23:AZ23)</f>
        <v>10650.7622160096</v>
      </c>
      <c r="D23" s="44" t="n">
        <f aca="false">D15+SUM(D18:D22)</f>
        <v>0</v>
      </c>
      <c r="E23" s="44" t="n">
        <f aca="false">E15+SUM(E18:E22)</f>
        <v>0</v>
      </c>
      <c r="F23" s="44" t="n">
        <f aca="false">F15+SUM(F18:F22)</f>
        <v>3.21656044546932</v>
      </c>
      <c r="G23" s="44" t="n">
        <f aca="false">G15+SUM(G18:G22)</f>
        <v>58.589542343935</v>
      </c>
      <c r="H23" s="44" t="n">
        <f aca="false">H15+SUM(H18:H22)</f>
        <v>89.7804218198653</v>
      </c>
      <c r="I23" s="44" t="n">
        <f aca="false">I15+SUM(I18:I22)</f>
        <v>104.629686696882</v>
      </c>
      <c r="J23" s="44" t="n">
        <f aca="false">J15+SUM(J18:J22)</f>
        <v>108.502480999354</v>
      </c>
      <c r="K23" s="44" t="n">
        <f aca="false">K15+SUM(K18:K22)</f>
        <v>112.60456209718</v>
      </c>
      <c r="L23" s="44" t="n">
        <f aca="false">L15+SUM(L18:L22)</f>
        <v>122.868345265749</v>
      </c>
      <c r="M23" s="44" t="n">
        <f aca="false">M15+SUM(M18:M22)</f>
        <v>128.010021489809</v>
      </c>
      <c r="N23" s="44" t="n">
        <f aca="false">N15+SUM(N18:N22)</f>
        <v>132.346044381663</v>
      </c>
      <c r="O23" s="44" t="n">
        <f aca="false">O15+SUM(O18:O22)</f>
        <v>142.738074767595</v>
      </c>
      <c r="P23" s="44" t="n">
        <f aca="false">P15+SUM(P18:P22)</f>
        <v>146.970104692201</v>
      </c>
      <c r="Q23" s="44" t="n">
        <f aca="false">Q15+SUM(Q18:Q22)</f>
        <v>151.544693027672</v>
      </c>
      <c r="R23" s="44" t="n">
        <f aca="false">R15+SUM(R18:R22)</f>
        <v>163.152684518147</v>
      </c>
      <c r="S23" s="44" t="n">
        <f aca="false">S15+SUM(S18:S22)</f>
        <v>165.30819418375</v>
      </c>
      <c r="T23" s="44" t="n">
        <f aca="false">T15+SUM(T18:T22)</f>
        <v>167.514696490084</v>
      </c>
      <c r="U23" s="44" t="n">
        <f aca="false">U15+SUM(U18:U22)</f>
        <v>177.181590096301</v>
      </c>
      <c r="V23" s="44" t="n">
        <f aca="false">V15+SUM(V18:V22)</f>
        <v>179.493739043822</v>
      </c>
      <c r="W23" s="44" t="n">
        <f aca="false">W15+SUM(W18:W22)</f>
        <v>181.860600395694</v>
      </c>
      <c r="X23" s="44" t="n">
        <f aca="false">X15+SUM(X18:X22)</f>
        <v>192.432480251219</v>
      </c>
      <c r="Y23" s="44" t="n">
        <f aca="false">Y15+SUM(Y18:Y22)</f>
        <v>194.912695865114</v>
      </c>
      <c r="Z23" s="44" t="n">
        <f aca="false">Z15+SUM(Z18:Z22)</f>
        <v>197.451616032686</v>
      </c>
      <c r="AA23" s="44" t="n">
        <f aca="false">AA15+SUM(AA18:AA22)</f>
        <v>209.014542687372</v>
      </c>
      <c r="AB23" s="44" t="n">
        <f aca="false">AB15+SUM(AB18:AB22)</f>
        <v>211.675089212824</v>
      </c>
      <c r="AC23" s="44" t="n">
        <f aca="false">AC15+SUM(AC18:AC22)</f>
        <v>214.398624847157</v>
      </c>
      <c r="AD23" s="44" t="n">
        <f aca="false">AD15+SUM(AD18:AD22)</f>
        <v>227.046944420338</v>
      </c>
      <c r="AE23" s="44" t="n">
        <f aca="false">AE15+SUM(AE18:AE22)</f>
        <v>229.900984477101</v>
      </c>
      <c r="AF23" s="44" t="n">
        <f aca="false">AF15+SUM(AF18:AF22)</f>
        <v>232.822612100754</v>
      </c>
      <c r="AG23" s="44" t="n">
        <f aca="false">AG15+SUM(AG18:AG22)</f>
        <v>246.65976160295</v>
      </c>
      <c r="AH23" s="44" t="n">
        <f aca="false">AH15+SUM(AH18:AH22)</f>
        <v>249.721422237024</v>
      </c>
      <c r="AI23" s="44" t="n">
        <f aca="false">AI15+SUM(AI18:AI22)</f>
        <v>252.855605881793</v>
      </c>
      <c r="AJ23" s="44" t="n">
        <f aca="false">AJ15+SUM(AJ18:AJ22)</f>
        <v>267.994997377381</v>
      </c>
      <c r="AK23" s="44" t="n">
        <f aca="false">AK15+SUM(AK18:AK22)</f>
        <v>271.279440986428</v>
      </c>
      <c r="AL23" s="44" t="n">
        <f aca="false">AL15+SUM(AL18:AL22)</f>
        <v>274.641704822243</v>
      </c>
      <c r="AM23" s="44" t="n">
        <f aca="false">AM15+SUM(AM18:AM22)</f>
        <v>291.207696193616</v>
      </c>
      <c r="AN23" s="44" t="n">
        <f aca="false">AN15+SUM(AN18:AN22)</f>
        <v>294.731196686966</v>
      </c>
      <c r="AO23" s="44" t="n">
        <f aca="false">AO15+SUM(AO18:AO22)</f>
        <v>298.338203011526</v>
      </c>
      <c r="AP23" s="44" t="n">
        <f aca="false">AP15+SUM(AP18:AP22)</f>
        <v>316.467163852249</v>
      </c>
      <c r="AQ23" s="44" t="n">
        <f aca="false">AQ15+SUM(AQ18:AQ22)</f>
        <v>320.24718843314</v>
      </c>
      <c r="AR23" s="44" t="n">
        <f aca="false">AR15+SUM(AR18:AR22)</f>
        <v>324.116821419302</v>
      </c>
      <c r="AS23" s="44" t="n">
        <f aca="false">AS15+SUM(AS18:AS22)</f>
        <v>343.958303426798</v>
      </c>
      <c r="AT23" s="44" t="n">
        <f aca="false">AT15+SUM(AT18:AT22)</f>
        <v>348.013600413326</v>
      </c>
      <c r="AU23" s="44" t="n">
        <f aca="false">AU15+SUM(AU18:AU22)</f>
        <v>352.165056040774</v>
      </c>
      <c r="AV23" s="44" t="n">
        <f aca="false">AV15+SUM(AV18:AV22)</f>
        <v>373.883078205677</v>
      </c>
      <c r="AW23" s="44" t="n">
        <f aca="false">AW15+SUM(AW18:AW22)</f>
        <v>378.233771337835</v>
      </c>
      <c r="AX23" s="44" t="n">
        <f aca="false">AX15+SUM(AX18:AX22)</f>
        <v>382.687653967262</v>
      </c>
      <c r="AY23" s="44" t="n">
        <f aca="false">AY15+SUM(AY18:AY22)</f>
        <v>406.46211387507</v>
      </c>
      <c r="AZ23" s="44" t="n">
        <f aca="false">AZ15+SUM(AZ18:AZ22)</f>
        <v>411.129803588549</v>
      </c>
    </row>
    <row r="24" customFormat="false" ht="15" hidden="false" customHeight="true" outlineLevel="0" collapsed="false">
      <c r="A24" s="13" t="s">
        <v>438</v>
      </c>
      <c r="B24" s="2"/>
      <c r="C24" s="2"/>
      <c r="D24" s="50" t="n">
        <f aca="false">IF(D9=0,0,D23/D9)</f>
        <v>0</v>
      </c>
      <c r="E24" s="50" t="n">
        <f aca="false">IF(E9=0,0,E23/E9)</f>
        <v>0</v>
      </c>
      <c r="F24" s="50" t="n">
        <f aca="false">IF(F9=0,0,F23/F9)</f>
        <v>0.0910772395330357</v>
      </c>
      <c r="G24" s="50" t="n">
        <f aca="false">IF(G9=0,0,G23/G9)</f>
        <v>0.302166911214353</v>
      </c>
      <c r="H24" s="50" t="n">
        <f aca="false">IF(H9=0,0,H23/H9)</f>
        <v>0.341018167665103</v>
      </c>
      <c r="I24" s="50" t="n">
        <f aca="false">IF(I9=0,0,I23/I9)</f>
        <v>0.367174883563634</v>
      </c>
      <c r="J24" s="50" t="n">
        <f aca="false">IF(J9=0,0,J23/J9)</f>
        <v>0.368957943358644</v>
      </c>
      <c r="K24" s="50" t="n">
        <f aca="false">IF(K9=0,0,K23/K9)</f>
        <v>0.371057871089933</v>
      </c>
      <c r="L24" s="50" t="n">
        <f aca="false">IF(L9=0,0,L23/L9)</f>
        <v>0.384295998703472</v>
      </c>
      <c r="M24" s="50" t="n">
        <f aca="false">IF(M9=0,0,M23/M9)</f>
        <v>0.386957889729908</v>
      </c>
      <c r="N24" s="50" t="n">
        <f aca="false">IF(N9=0,0,N23/N9)</f>
        <v>0.388483864141156</v>
      </c>
      <c r="O24" s="50" t="n">
        <f aca="false">IF(O9=0,0,O23/O9)</f>
        <v>0.399765112180489</v>
      </c>
      <c r="P24" s="50" t="n">
        <f aca="false">IF(P9=0,0,P23/P9)</f>
        <v>0.400458719219382</v>
      </c>
      <c r="Q24" s="50" t="n">
        <f aca="false">IF(Q9=0,0,Q23/Q9)</f>
        <v>0.401365694110426</v>
      </c>
      <c r="R24" s="50" t="n">
        <f aca="false">IF(R9=0,0,R23/R9)</f>
        <v>0.41225808622807</v>
      </c>
      <c r="S24" s="50" t="n">
        <f aca="false">IF(S9=0,0,S23/S9)</f>
        <v>0.409871750821014</v>
      </c>
      <c r="T24" s="50" t="n">
        <f aca="false">IF(T9=0,0,T23/T9)</f>
        <v>0.407518138454526</v>
      </c>
      <c r="U24" s="50" t="n">
        <f aca="false">IF(U9=0,0,U23/U9)</f>
        <v>0.415141202956299</v>
      </c>
      <c r="V24" s="50" t="n">
        <f aca="false">IF(V9=0,0,V23/V9)</f>
        <v>0.412708280037978</v>
      </c>
      <c r="W24" s="50" t="n">
        <f aca="false">IF(W9=0,0,W23/W9)</f>
        <v>0.410308321392163</v>
      </c>
      <c r="X24" s="50" t="n">
        <f aca="false">IF(X9=0,0,X23/X9)</f>
        <v>0.418031715558949</v>
      </c>
      <c r="Y24" s="50" t="n">
        <f aca="false">IF(Y9=0,0,Y23/Y9)</f>
        <v>0.415552783989387</v>
      </c>
      <c r="Z24" s="50" t="n">
        <f aca="false">IF(Z9=0,0,Z23/Z9)</f>
        <v>0.413107026803394</v>
      </c>
      <c r="AA24" s="50" t="n">
        <f aca="false">IF(AA9=0,0,AA23/AA9)</f>
        <v>0.420931828301867</v>
      </c>
      <c r="AB24" s="50" t="n">
        <f aca="false">IF(AB9=0,0,AB23/AB9)</f>
        <v>0.41840744068341</v>
      </c>
      <c r="AC24" s="50" t="n">
        <f aca="false">IF(AC9=0,0,AC23/AC9)</f>
        <v>0.415916406728252</v>
      </c>
      <c r="AD24" s="50" t="n">
        <f aca="false">IF(AD9=0,0,AD23/AD9)</f>
        <v>0.42384357027218</v>
      </c>
      <c r="AE24" s="50" t="n">
        <f aca="false">IF(AE9=0,0,AE23/AE9)</f>
        <v>0.4212742569171</v>
      </c>
      <c r="AF24" s="50" t="n">
        <f aca="false">IF(AF9=0,0,AF23/AF9)</f>
        <v>0.418738445903091</v>
      </c>
      <c r="AG24" s="50" t="n">
        <f aca="false">IF(AG9=0,0,AG23/AG9)</f>
        <v>0.426768805238783</v>
      </c>
      <c r="AH24" s="50" t="n">
        <f aca="false">IF(AH9=0,0,AH23/AH9)</f>
        <v>0.4241550778912</v>
      </c>
      <c r="AI24" s="50" t="n">
        <f aca="false">IF(AI9=0,0,AI23/AI9)</f>
        <v>0.421574971136432</v>
      </c>
      <c r="AJ24" s="50" t="n">
        <f aca="false">IF(AJ9=0,0,AJ23/AJ9)</f>
        <v>0.429709240826253</v>
      </c>
      <c r="AK24" s="50" t="n">
        <f aca="false">IF(AK9=0,0,AK23/AK9)</f>
        <v>0.427051596152367</v>
      </c>
      <c r="AL24" s="50" t="n">
        <f aca="false">IF(AL9=0,0,AL23/AL9)</f>
        <v>0.424427660025947</v>
      </c>
      <c r="AM24" s="50" t="n">
        <f aca="false">IF(AM9=0,0,AM23/AM9)</f>
        <v>0.432666437051376</v>
      </c>
      <c r="AN24" s="50" t="n">
        <f aca="false">IF(AN9=0,0,AN23/AN9)</f>
        <v>0.429965359910927</v>
      </c>
      <c r="AO24" s="50" t="n">
        <f aca="false">IF(AO9=0,0,AO23/AO9)</f>
        <v>0.427298049063581</v>
      </c>
      <c r="AP24" s="50" t="n">
        <f aca="false">IF(AP9=0,0,AP23/AP9)</f>
        <v>0.435641814268353</v>
      </c>
      <c r="AQ24" s="50" t="n">
        <f aca="false">IF(AQ9=0,0,AQ23/AQ9)</f>
        <v>0.432897780779201</v>
      </c>
      <c r="AR24" s="50" t="n">
        <f aca="false">IF(AR9=0,0,AR23/AR9)</f>
        <v>0.430187541172874</v>
      </c>
      <c r="AS24" s="50" t="n">
        <f aca="false">IF(AS9=0,0,AS23/AS9)</f>
        <v>0.438636660565762</v>
      </c>
      <c r="AT24" s="50" t="n">
        <f aca="false">IF(AT9=0,0,AT23/AT9)</f>
        <v>0.435850140972539</v>
      </c>
      <c r="AU24" s="50" t="n">
        <f aca="false">IF(AU9=0,0,AU23/AU9)</f>
        <v>0.433097412719684</v>
      </c>
      <c r="AV24" s="50" t="n">
        <f aca="false">IF(AV9=0,0,AV23/AV9)</f>
        <v>0.441652138655631</v>
      </c>
      <c r="AW24" s="50" t="n">
        <f aca="false">IF(AW9=0,0,AW23/AW9)</f>
        <v>0.438823600012542</v>
      </c>
      <c r="AX24" s="50" t="n">
        <f aca="false">IF(AX9=0,0,AX23/AX9)</f>
        <v>0.436028820034931</v>
      </c>
      <c r="AY24" s="50" t="n">
        <f aca="false">IF(AY9=0,0,AY23/AY9)</f>
        <v>0.444689292292378</v>
      </c>
      <c r="AZ24" s="50" t="n">
        <f aca="false">IF(AZ9=0,0,AZ23/AZ9)</f>
        <v>0.441819200969404</v>
      </c>
    </row>
    <row r="25" customFormat="false" ht="15" hidden="false" customHeight="true" outlineLevel="0" collapsed="false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customFormat="false" ht="15" hidden="false" customHeight="true" outlineLevel="0" collapsed="false">
      <c r="A26" s="11" t="s">
        <v>439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</row>
    <row r="27" customFormat="false" ht="15" hidden="false" customHeight="true" outlineLevel="0" collapsed="false">
      <c r="A27" s="13" t="s">
        <v>440</v>
      </c>
      <c r="B27" s="2"/>
      <c r="C27" s="41" t="n">
        <f aca="false">SUM(D27:AZ27)</f>
        <v>-514.7436</v>
      </c>
      <c r="D27" s="41" t="n">
        <f aca="false">-IF(2026&lt;2028,0,Capex!$C$21*(1-Inputs!$B$173)/Inputs!$B$171+IF(2026&lt;2028+Inputs!$B$172,Capex!$C$21*Inputs!$B$173/Inputs!$B$172,0))</f>
        <v>-0</v>
      </c>
      <c r="E27" s="41" t="n">
        <f aca="false">-IF(2027&lt;2028,0,Capex!$C$21*(1-Inputs!$B$173)/Inputs!$B$171+IF(2027&lt;2028+Inputs!$B$172,Capex!$C$21*Inputs!$B$173/Inputs!$B$172,0))</f>
        <v>-0</v>
      </c>
      <c r="F27" s="41" t="n">
        <f aca="false">-IF(2028&lt;2028,0,Capex!$C$21*(1-Inputs!$B$173)/Inputs!$B$171+IF(2028&lt;2028+Inputs!$B$172,Capex!$C$21*Inputs!$B$173/Inputs!$B$172,0))</f>
        <v>-18.7782</v>
      </c>
      <c r="G27" s="41" t="n">
        <f aca="false">-IF(2029&lt;2028,0,Capex!$C$21*(1-Inputs!$B$173)/Inputs!$B$171+IF(2029&lt;2028+Inputs!$B$172,Capex!$C$21*Inputs!$B$173/Inputs!$B$172,0))</f>
        <v>-18.7782</v>
      </c>
      <c r="H27" s="41" t="n">
        <f aca="false">-IF(2030&lt;2028,0,Capex!$C$21*(1-Inputs!$B$173)/Inputs!$B$171+IF(2030&lt;2028+Inputs!$B$172,Capex!$C$21*Inputs!$B$173/Inputs!$B$172,0))</f>
        <v>-18.7782</v>
      </c>
      <c r="I27" s="41" t="n">
        <f aca="false">-IF(2031&lt;2028,0,Capex!$C$21*(1-Inputs!$B$173)/Inputs!$B$171+IF(2031&lt;2028+Inputs!$B$172,Capex!$C$21*Inputs!$B$173/Inputs!$B$172,0))</f>
        <v>-18.7782</v>
      </c>
      <c r="J27" s="41" t="n">
        <f aca="false">-IF(2032&lt;2028,0,Capex!$C$21*(1-Inputs!$B$173)/Inputs!$B$171+IF(2032&lt;2028+Inputs!$B$172,Capex!$C$21*Inputs!$B$173/Inputs!$B$172,0))</f>
        <v>-18.7782</v>
      </c>
      <c r="K27" s="41" t="n">
        <f aca="false">-IF(2033&lt;2028,0,Capex!$C$21*(1-Inputs!$B$173)/Inputs!$B$171+IF(2033&lt;2028+Inputs!$B$172,Capex!$C$21*Inputs!$B$173/Inputs!$B$172,0))</f>
        <v>-18.7782</v>
      </c>
      <c r="L27" s="41" t="n">
        <f aca="false">-IF(2034&lt;2028,0,Capex!$C$21*(1-Inputs!$B$173)/Inputs!$B$171+IF(2034&lt;2028+Inputs!$B$172,Capex!$C$21*Inputs!$B$173/Inputs!$B$172,0))</f>
        <v>-18.7782</v>
      </c>
      <c r="M27" s="41" t="n">
        <f aca="false">-IF(2035&lt;2028,0,Capex!$C$21*(1-Inputs!$B$173)/Inputs!$B$171+IF(2035&lt;2028+Inputs!$B$172,Capex!$C$21*Inputs!$B$173/Inputs!$B$172,0))</f>
        <v>-18.7782</v>
      </c>
      <c r="N27" s="41" t="n">
        <f aca="false">-IF(2036&lt;2028,0,Capex!$C$21*(1-Inputs!$B$173)/Inputs!$B$171+IF(2036&lt;2028+Inputs!$B$172,Capex!$C$21*Inputs!$B$173/Inputs!$B$172,0))</f>
        <v>-18.7782</v>
      </c>
      <c r="O27" s="41" t="n">
        <f aca="false">-IF(2037&lt;2028,0,Capex!$C$21*(1-Inputs!$B$173)/Inputs!$B$171+IF(2037&lt;2028+Inputs!$B$172,Capex!$C$21*Inputs!$B$173/Inputs!$B$172,0))</f>
        <v>-18.7782</v>
      </c>
      <c r="P27" s="41" t="n">
        <f aca="false">-IF(2038&lt;2028,0,Capex!$C$21*(1-Inputs!$B$173)/Inputs!$B$171+IF(2038&lt;2028+Inputs!$B$172,Capex!$C$21*Inputs!$B$173/Inputs!$B$172,0))</f>
        <v>-8.8368</v>
      </c>
      <c r="Q27" s="41" t="n">
        <f aca="false">-IF(2039&lt;2028,0,Capex!$C$21*(1-Inputs!$B$173)/Inputs!$B$171+IF(2039&lt;2028+Inputs!$B$172,Capex!$C$21*Inputs!$B$173/Inputs!$B$172,0))</f>
        <v>-8.8368</v>
      </c>
      <c r="R27" s="41" t="n">
        <f aca="false">-IF(2040&lt;2028,0,Capex!$C$21*(1-Inputs!$B$173)/Inputs!$B$171+IF(2040&lt;2028+Inputs!$B$172,Capex!$C$21*Inputs!$B$173/Inputs!$B$172,0))</f>
        <v>-8.8368</v>
      </c>
      <c r="S27" s="41" t="n">
        <f aca="false">-IF(2041&lt;2028,0,Capex!$C$21*(1-Inputs!$B$173)/Inputs!$B$171+IF(2041&lt;2028+Inputs!$B$172,Capex!$C$21*Inputs!$B$173/Inputs!$B$172,0))</f>
        <v>-8.8368</v>
      </c>
      <c r="T27" s="41" t="n">
        <f aca="false">-IF(2042&lt;2028,0,Capex!$C$21*(1-Inputs!$B$173)/Inputs!$B$171+IF(2042&lt;2028+Inputs!$B$172,Capex!$C$21*Inputs!$B$173/Inputs!$B$172,0))</f>
        <v>-8.8368</v>
      </c>
      <c r="U27" s="41" t="n">
        <f aca="false">-IF(2043&lt;2028,0,Capex!$C$21*(1-Inputs!$B$173)/Inputs!$B$171+IF(2043&lt;2028+Inputs!$B$172,Capex!$C$21*Inputs!$B$173/Inputs!$B$172,0))</f>
        <v>-8.8368</v>
      </c>
      <c r="V27" s="41" t="n">
        <f aca="false">-IF(2044&lt;2028,0,Capex!$C$21*(1-Inputs!$B$173)/Inputs!$B$171+IF(2044&lt;2028+Inputs!$B$172,Capex!$C$21*Inputs!$B$173/Inputs!$B$172,0))</f>
        <v>-8.8368</v>
      </c>
      <c r="W27" s="41" t="n">
        <f aca="false">-IF(2045&lt;2028,0,Capex!$C$21*(1-Inputs!$B$173)/Inputs!$B$171+IF(2045&lt;2028+Inputs!$B$172,Capex!$C$21*Inputs!$B$173/Inputs!$B$172,0))</f>
        <v>-8.8368</v>
      </c>
      <c r="X27" s="41" t="n">
        <f aca="false">-IF(2046&lt;2028,0,Capex!$C$21*(1-Inputs!$B$173)/Inputs!$B$171+IF(2046&lt;2028+Inputs!$B$172,Capex!$C$21*Inputs!$B$173/Inputs!$B$172,0))</f>
        <v>-8.8368</v>
      </c>
      <c r="Y27" s="41" t="n">
        <f aca="false">-IF(2047&lt;2028,0,Capex!$C$21*(1-Inputs!$B$173)/Inputs!$B$171+IF(2047&lt;2028+Inputs!$B$172,Capex!$C$21*Inputs!$B$173/Inputs!$B$172,0))</f>
        <v>-8.8368</v>
      </c>
      <c r="Z27" s="41" t="n">
        <f aca="false">-IF(2048&lt;2028,0,Capex!$C$21*(1-Inputs!$B$173)/Inputs!$B$171+IF(2048&lt;2028+Inputs!$B$172,Capex!$C$21*Inputs!$B$173/Inputs!$B$172,0))</f>
        <v>-8.8368</v>
      </c>
      <c r="AA27" s="41" t="n">
        <f aca="false">-IF(2049&lt;2028,0,Capex!$C$21*(1-Inputs!$B$173)/Inputs!$B$171+IF(2049&lt;2028+Inputs!$B$172,Capex!$C$21*Inputs!$B$173/Inputs!$B$172,0))</f>
        <v>-8.8368</v>
      </c>
      <c r="AB27" s="41" t="n">
        <f aca="false">-IF(2050&lt;2028,0,Capex!$C$21*(1-Inputs!$B$173)/Inputs!$B$171+IF(2050&lt;2028+Inputs!$B$172,Capex!$C$21*Inputs!$B$173/Inputs!$B$172,0))</f>
        <v>-8.8368</v>
      </c>
      <c r="AC27" s="41" t="n">
        <f aca="false">-IF(2051&lt;2028,0,Capex!$C$21*(1-Inputs!$B$173)/Inputs!$B$171+IF(2051&lt;2028+Inputs!$B$172,Capex!$C$21*Inputs!$B$173/Inputs!$B$172,0))</f>
        <v>-8.8368</v>
      </c>
      <c r="AD27" s="41" t="n">
        <f aca="false">-IF(2052&lt;2028,0,Capex!$C$21*(1-Inputs!$B$173)/Inputs!$B$171+IF(2052&lt;2028+Inputs!$B$172,Capex!$C$21*Inputs!$B$173/Inputs!$B$172,0))</f>
        <v>-8.8368</v>
      </c>
      <c r="AE27" s="41" t="n">
        <f aca="false">-IF(2053&lt;2028,0,Capex!$C$21*(1-Inputs!$B$173)/Inputs!$B$171+IF(2053&lt;2028+Inputs!$B$172,Capex!$C$21*Inputs!$B$173/Inputs!$B$172,0))</f>
        <v>-8.8368</v>
      </c>
      <c r="AF27" s="41" t="n">
        <f aca="false">-IF(2054&lt;2028,0,Capex!$C$21*(1-Inputs!$B$173)/Inputs!$B$171+IF(2054&lt;2028+Inputs!$B$172,Capex!$C$21*Inputs!$B$173/Inputs!$B$172,0))</f>
        <v>-8.8368</v>
      </c>
      <c r="AG27" s="41" t="n">
        <f aca="false">-IF(2055&lt;2028,0,Capex!$C$21*(1-Inputs!$B$173)/Inputs!$B$171+IF(2055&lt;2028+Inputs!$B$172,Capex!$C$21*Inputs!$B$173/Inputs!$B$172,0))</f>
        <v>-8.8368</v>
      </c>
      <c r="AH27" s="41" t="n">
        <f aca="false">-IF(2056&lt;2028,0,Capex!$C$21*(1-Inputs!$B$173)/Inputs!$B$171+IF(2056&lt;2028+Inputs!$B$172,Capex!$C$21*Inputs!$B$173/Inputs!$B$172,0))</f>
        <v>-8.8368</v>
      </c>
      <c r="AI27" s="41" t="n">
        <f aca="false">-IF(2057&lt;2028,0,Capex!$C$21*(1-Inputs!$B$173)/Inputs!$B$171+IF(2057&lt;2028+Inputs!$B$172,Capex!$C$21*Inputs!$B$173/Inputs!$B$172,0))</f>
        <v>-8.8368</v>
      </c>
      <c r="AJ27" s="41" t="n">
        <f aca="false">-IF(2058&lt;2028,0,Capex!$C$21*(1-Inputs!$B$173)/Inputs!$B$171+IF(2058&lt;2028+Inputs!$B$172,Capex!$C$21*Inputs!$B$173/Inputs!$B$172,0))</f>
        <v>-8.8368</v>
      </c>
      <c r="AK27" s="41" t="n">
        <f aca="false">-IF(2059&lt;2028,0,Capex!$C$21*(1-Inputs!$B$173)/Inputs!$B$171+IF(2059&lt;2028+Inputs!$B$172,Capex!$C$21*Inputs!$B$173/Inputs!$B$172,0))</f>
        <v>-8.8368</v>
      </c>
      <c r="AL27" s="41" t="n">
        <f aca="false">-IF(2060&lt;2028,0,Capex!$C$21*(1-Inputs!$B$173)/Inputs!$B$171+IF(2060&lt;2028+Inputs!$B$172,Capex!$C$21*Inputs!$B$173/Inputs!$B$172,0))</f>
        <v>-8.8368</v>
      </c>
      <c r="AM27" s="41" t="n">
        <f aca="false">-IF(2061&lt;2028,0,Capex!$C$21*(1-Inputs!$B$173)/Inputs!$B$171+IF(2061&lt;2028+Inputs!$B$172,Capex!$C$21*Inputs!$B$173/Inputs!$B$172,0))</f>
        <v>-8.8368</v>
      </c>
      <c r="AN27" s="41" t="n">
        <f aca="false">-IF(2062&lt;2028,0,Capex!$C$21*(1-Inputs!$B$173)/Inputs!$B$171+IF(2062&lt;2028+Inputs!$B$172,Capex!$C$21*Inputs!$B$173/Inputs!$B$172,0))</f>
        <v>-8.8368</v>
      </c>
      <c r="AO27" s="41" t="n">
        <f aca="false">-IF(2063&lt;2028,0,Capex!$C$21*(1-Inputs!$B$173)/Inputs!$B$171+IF(2063&lt;2028+Inputs!$B$172,Capex!$C$21*Inputs!$B$173/Inputs!$B$172,0))</f>
        <v>-8.8368</v>
      </c>
      <c r="AP27" s="41" t="n">
        <f aca="false">-IF(2064&lt;2028,0,Capex!$C$21*(1-Inputs!$B$173)/Inputs!$B$171+IF(2064&lt;2028+Inputs!$B$172,Capex!$C$21*Inputs!$B$173/Inputs!$B$172,0))</f>
        <v>-8.8368</v>
      </c>
      <c r="AQ27" s="41" t="n">
        <f aca="false">-IF(2065&lt;2028,0,Capex!$C$21*(1-Inputs!$B$173)/Inputs!$B$171+IF(2065&lt;2028+Inputs!$B$172,Capex!$C$21*Inputs!$B$173/Inputs!$B$172,0))</f>
        <v>-8.8368</v>
      </c>
      <c r="AR27" s="41" t="n">
        <f aca="false">-IF(2066&lt;2028,0,Capex!$C$21*(1-Inputs!$B$173)/Inputs!$B$171+IF(2066&lt;2028+Inputs!$B$172,Capex!$C$21*Inputs!$B$173/Inputs!$B$172,0))</f>
        <v>-8.8368</v>
      </c>
      <c r="AS27" s="41" t="n">
        <f aca="false">-IF(2067&lt;2028,0,Capex!$C$21*(1-Inputs!$B$173)/Inputs!$B$171+IF(2067&lt;2028+Inputs!$B$172,Capex!$C$21*Inputs!$B$173/Inputs!$B$172,0))</f>
        <v>-8.8368</v>
      </c>
      <c r="AT27" s="41" t="n">
        <f aca="false">-IF(2068&lt;2028,0,Capex!$C$21*(1-Inputs!$B$173)/Inputs!$B$171+IF(2068&lt;2028+Inputs!$B$172,Capex!$C$21*Inputs!$B$173/Inputs!$B$172,0))</f>
        <v>-8.8368</v>
      </c>
      <c r="AU27" s="41" t="n">
        <f aca="false">-IF(2069&lt;2028,0,Capex!$C$21*(1-Inputs!$B$173)/Inputs!$B$171+IF(2069&lt;2028+Inputs!$B$172,Capex!$C$21*Inputs!$B$173/Inputs!$B$172,0))</f>
        <v>-8.8368</v>
      </c>
      <c r="AV27" s="41" t="n">
        <f aca="false">-IF(2070&lt;2028,0,Capex!$C$21*(1-Inputs!$B$173)/Inputs!$B$171+IF(2070&lt;2028+Inputs!$B$172,Capex!$C$21*Inputs!$B$173/Inputs!$B$172,0))</f>
        <v>-8.8368</v>
      </c>
      <c r="AW27" s="41" t="n">
        <f aca="false">-IF(2071&lt;2028,0,Capex!$C$21*(1-Inputs!$B$173)/Inputs!$B$171+IF(2071&lt;2028+Inputs!$B$172,Capex!$C$21*Inputs!$B$173/Inputs!$B$172,0))</f>
        <v>-8.8368</v>
      </c>
      <c r="AX27" s="41" t="n">
        <f aca="false">-IF(2072&lt;2028,0,Capex!$C$21*(1-Inputs!$B$173)/Inputs!$B$171+IF(2072&lt;2028+Inputs!$B$172,Capex!$C$21*Inputs!$B$173/Inputs!$B$172,0))</f>
        <v>-8.8368</v>
      </c>
      <c r="AY27" s="41" t="n">
        <f aca="false">-IF(2073&lt;2028,0,Capex!$C$21*(1-Inputs!$B$173)/Inputs!$B$171+IF(2073&lt;2028+Inputs!$B$172,Capex!$C$21*Inputs!$B$173/Inputs!$B$172,0))</f>
        <v>-8.8368</v>
      </c>
      <c r="AZ27" s="41" t="n">
        <f aca="false">-IF(2074&lt;2028,0,Capex!$C$21*(1-Inputs!$B$173)/Inputs!$B$171+IF(2074&lt;2028+Inputs!$B$172,Capex!$C$21*Inputs!$B$173/Inputs!$B$172,0))</f>
        <v>-8.8368</v>
      </c>
    </row>
    <row r="28" customFormat="false" ht="15" hidden="false" customHeight="true" outlineLevel="0" collapsed="false">
      <c r="A28" s="13" t="s">
        <v>441</v>
      </c>
      <c r="B28" s="2"/>
      <c r="C28" s="41" t="n">
        <f aca="false">SUM(D28:AZ28)</f>
        <v>-253.789506389104</v>
      </c>
      <c r="D28" s="41" t="n">
        <f aca="false">-MAX(0,(D23+D27)*Inputs!$B$170)</f>
        <v>-0</v>
      </c>
      <c r="E28" s="41" t="n">
        <f aca="false">-MAX(0,(E23+E27)*Inputs!$B$170)</f>
        <v>-0</v>
      </c>
      <c r="F28" s="41" t="n">
        <f aca="false">-MAX(0,(F23+F27)*Inputs!$B$170)</f>
        <v>-0</v>
      </c>
      <c r="G28" s="41" t="n">
        <f aca="false">-MAX(0,(G23+G27)*Inputs!$B$170)</f>
        <v>-0.995283558598374</v>
      </c>
      <c r="H28" s="41" t="n">
        <f aca="false">-MAX(0,(H23+H27)*Inputs!$B$170)</f>
        <v>-1.77505554549663</v>
      </c>
      <c r="I28" s="41" t="n">
        <f aca="false">-MAX(0,(I23+I27)*Inputs!$B$170)</f>
        <v>-2.14628716742204</v>
      </c>
      <c r="J28" s="41" t="n">
        <f aca="false">-MAX(0,(J23+J27)*Inputs!$B$170)</f>
        <v>-2.24310702498385</v>
      </c>
      <c r="K28" s="41" t="n">
        <f aca="false">-MAX(0,(K23+K27)*Inputs!$B$170)</f>
        <v>-2.34565905242951</v>
      </c>
      <c r="L28" s="41" t="n">
        <f aca="false">-MAX(0,(L23+L27)*Inputs!$B$170)</f>
        <v>-2.60225363164373</v>
      </c>
      <c r="M28" s="41" t="n">
        <f aca="false">-MAX(0,(M23+M27)*Inputs!$B$170)</f>
        <v>-2.73079553724524</v>
      </c>
      <c r="N28" s="41" t="n">
        <f aca="false">-MAX(0,(N23+N27)*Inputs!$B$170)</f>
        <v>-2.83919610954157</v>
      </c>
      <c r="O28" s="41" t="n">
        <f aca="false">-MAX(0,(O23+O27)*Inputs!$B$170)</f>
        <v>-3.09899686918988</v>
      </c>
      <c r="P28" s="41" t="n">
        <f aca="false">-MAX(0,(P23+P27)*Inputs!$B$170)</f>
        <v>-3.45333261730504</v>
      </c>
      <c r="Q28" s="41" t="n">
        <f aca="false">-MAX(0,(Q23+Q27)*Inputs!$B$170)</f>
        <v>-3.5676973256918</v>
      </c>
      <c r="R28" s="41" t="n">
        <f aca="false">-MAX(0,(R23+R27)*Inputs!$B$170)</f>
        <v>-3.85789711295367</v>
      </c>
      <c r="S28" s="41" t="n">
        <f aca="false">-MAX(0,(S23+S27)*Inputs!$B$170)</f>
        <v>-3.91178485459375</v>
      </c>
      <c r="T28" s="41" t="n">
        <f aca="false">-MAX(0,(T23+T27)*Inputs!$B$170)</f>
        <v>-3.96694741225209</v>
      </c>
      <c r="U28" s="41" t="n">
        <f aca="false">-MAX(0,(U23+U27)*Inputs!$B$170)</f>
        <v>-4.20861975240752</v>
      </c>
      <c r="V28" s="41" t="n">
        <f aca="false">-MAX(0,(V23+V27)*Inputs!$B$170)</f>
        <v>-4.26642347609555</v>
      </c>
      <c r="W28" s="41" t="n">
        <f aca="false">-MAX(0,(W23+W27)*Inputs!$B$170)</f>
        <v>-4.32559500989236</v>
      </c>
      <c r="X28" s="41" t="n">
        <f aca="false">-MAX(0,(X23+X27)*Inputs!$B$170)</f>
        <v>-4.58989200628047</v>
      </c>
      <c r="Y28" s="41" t="n">
        <f aca="false">-MAX(0,(Y23+Y27)*Inputs!$B$170)</f>
        <v>-4.65189739662785</v>
      </c>
      <c r="Z28" s="41" t="n">
        <f aca="false">-MAX(0,(Z23+Z27)*Inputs!$B$170)</f>
        <v>-4.71537040081715</v>
      </c>
      <c r="AA28" s="41" t="n">
        <f aca="false">-MAX(0,(AA23+AA27)*Inputs!$B$170)</f>
        <v>-5.00444356718429</v>
      </c>
      <c r="AB28" s="41" t="n">
        <f aca="false">-MAX(0,(AB23+AB27)*Inputs!$B$170)</f>
        <v>-5.0709572303206</v>
      </c>
      <c r="AC28" s="41" t="n">
        <f aca="false">-MAX(0,(AC23+AC27)*Inputs!$B$170)</f>
        <v>-5.13904562117893</v>
      </c>
      <c r="AD28" s="41" t="n">
        <f aca="false">-MAX(0,(AD23+AD27)*Inputs!$B$170)</f>
        <v>-5.45525361050845</v>
      </c>
      <c r="AE28" s="41" t="n">
        <f aca="false">-MAX(0,(AE23+AE27)*Inputs!$B$170)</f>
        <v>-5.52660461192752</v>
      </c>
      <c r="AF28" s="41" t="n">
        <f aca="false">-MAX(0,(AF23+AF27)*Inputs!$B$170)</f>
        <v>-5.59964530251885</v>
      </c>
      <c r="AG28" s="41" t="n">
        <f aca="false">-MAX(0,(AG23+AG27)*Inputs!$B$170)</f>
        <v>-5.94557404007375</v>
      </c>
      <c r="AH28" s="41" t="n">
        <f aca="false">-MAX(0,(AH23+AH27)*Inputs!$B$170)</f>
        <v>-6.0221155559256</v>
      </c>
      <c r="AI28" s="41" t="n">
        <f aca="false">-MAX(0,(AI23+AI27)*Inputs!$B$170)</f>
        <v>-6.10047014704481</v>
      </c>
      <c r="AJ28" s="41" t="n">
        <f aca="false">-MAX(0,(AJ23+AJ27)*Inputs!$B$170)</f>
        <v>-6.47895493443452</v>
      </c>
      <c r="AK28" s="41" t="n">
        <f aca="false">-MAX(0,(AK23+AK27)*Inputs!$B$170)</f>
        <v>-6.56106602466071</v>
      </c>
      <c r="AL28" s="41" t="n">
        <f aca="false">-MAX(0,(AL23+AL27)*Inputs!$B$170)</f>
        <v>-6.64512262055608</v>
      </c>
      <c r="AM28" s="41" t="n">
        <f aca="false">-MAX(0,(AM23+AM27)*Inputs!$B$170)</f>
        <v>-7.05927240484041</v>
      </c>
      <c r="AN28" s="41" t="n">
        <f aca="false">-MAX(0,(AN23+AN27)*Inputs!$B$170)</f>
        <v>-7.14735991717414</v>
      </c>
      <c r="AO28" s="41" t="n">
        <f aca="false">-MAX(0,(AO23+AO27)*Inputs!$B$170)</f>
        <v>-7.23753507528815</v>
      </c>
      <c r="AP28" s="41" t="n">
        <f aca="false">-MAX(0,(AP23+AP27)*Inputs!$B$170)</f>
        <v>-7.69075909630622</v>
      </c>
      <c r="AQ28" s="41" t="n">
        <f aca="false">-MAX(0,(AQ23+AQ27)*Inputs!$B$170)</f>
        <v>-7.7852597108285</v>
      </c>
      <c r="AR28" s="41" t="n">
        <f aca="false">-MAX(0,(AR23+AR27)*Inputs!$B$170)</f>
        <v>-7.88200053548255</v>
      </c>
      <c r="AS28" s="41" t="n">
        <f aca="false">-MAX(0,(AS23+AS27)*Inputs!$B$170)</f>
        <v>-8.37803758566994</v>
      </c>
      <c r="AT28" s="41" t="n">
        <f aca="false">-MAX(0,(AT23+AT27)*Inputs!$B$170)</f>
        <v>-8.47942001033314</v>
      </c>
      <c r="AU28" s="41" t="n">
        <f aca="false">-MAX(0,(AU23+AU27)*Inputs!$B$170)</f>
        <v>-8.58320640101935</v>
      </c>
      <c r="AV28" s="41" t="n">
        <f aca="false">-MAX(0,(AV23+AV27)*Inputs!$B$170)</f>
        <v>-9.12615695514193</v>
      </c>
      <c r="AW28" s="41" t="n">
        <f aca="false">-MAX(0,(AW23+AW27)*Inputs!$B$170)</f>
        <v>-9.23492428344588</v>
      </c>
      <c r="AX28" s="41" t="n">
        <f aca="false">-MAX(0,(AX23+AX27)*Inputs!$B$170)</f>
        <v>-9.34627134918155</v>
      </c>
      <c r="AY28" s="41" t="n">
        <f aca="false">-MAX(0,(AY23+AY27)*Inputs!$B$170)</f>
        <v>-9.94063284687675</v>
      </c>
      <c r="AZ28" s="41" t="n">
        <f aca="false">-MAX(0,(AZ23+AZ27)*Inputs!$B$170)</f>
        <v>-10.0573250897137</v>
      </c>
    </row>
    <row r="29" customFormat="false" ht="15" hidden="false" customHeight="true" outlineLevel="0" collapsed="false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customFormat="false" ht="15" hidden="false" customHeight="true" outlineLevel="0" collapsed="false">
      <c r="A30" s="11" t="s">
        <v>442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</row>
    <row r="31" customFormat="false" ht="15" hidden="false" customHeight="true" outlineLevel="0" collapsed="false">
      <c r="A31" s="13" t="s">
        <v>443</v>
      </c>
      <c r="B31" s="2"/>
      <c r="C31" s="41" t="n">
        <f aca="false">SUM(D31:AZ31)</f>
        <v>-550.1</v>
      </c>
      <c r="D31" s="40" t="n">
        <f aca="false">-Capex!D29</f>
        <v>-28.7832629420656</v>
      </c>
      <c r="E31" s="40" t="n">
        <f aca="false">-Capex!E29</f>
        <v>-202.861237916539</v>
      </c>
      <c r="F31" s="40" t="n">
        <f aca="false">-Capex!F29</f>
        <v>-248.472650736915</v>
      </c>
      <c r="G31" s="40" t="n">
        <f aca="false">-Capex!G29</f>
        <v>-69.98284840448</v>
      </c>
      <c r="H31" s="40" t="n">
        <f aca="false">-Capex!H29</f>
        <v>-0</v>
      </c>
      <c r="I31" s="40" t="n">
        <f aca="false">-Capex!I29</f>
        <v>-0</v>
      </c>
      <c r="J31" s="40" t="n">
        <f aca="false">-Capex!J29</f>
        <v>-0</v>
      </c>
      <c r="K31" s="40" t="n">
        <f aca="false">-Capex!K29</f>
        <v>-0</v>
      </c>
      <c r="L31" s="40" t="n">
        <f aca="false">-Capex!L29</f>
        <v>-0</v>
      </c>
      <c r="M31" s="40" t="n">
        <f aca="false">-Capex!M29</f>
        <v>-0</v>
      </c>
      <c r="N31" s="40" t="n">
        <f aca="false">-Capex!N29</f>
        <v>-0</v>
      </c>
      <c r="O31" s="40" t="n">
        <f aca="false">-Capex!O29</f>
        <v>-0</v>
      </c>
      <c r="P31" s="40" t="n">
        <f aca="false">-Capex!P29</f>
        <v>-0</v>
      </c>
      <c r="Q31" s="40" t="n">
        <f aca="false">-Capex!Q29</f>
        <v>-0</v>
      </c>
      <c r="R31" s="40" t="n">
        <f aca="false">-Capex!R29</f>
        <v>-0</v>
      </c>
      <c r="S31" s="40" t="n">
        <f aca="false">-Capex!S29</f>
        <v>-0</v>
      </c>
      <c r="T31" s="40" t="n">
        <f aca="false">-Capex!T29</f>
        <v>-0</v>
      </c>
      <c r="U31" s="40" t="n">
        <f aca="false">-Capex!U29</f>
        <v>-0</v>
      </c>
      <c r="V31" s="40" t="n">
        <f aca="false">-Capex!V29</f>
        <v>-0</v>
      </c>
      <c r="W31" s="40" t="n">
        <f aca="false">-Capex!W29</f>
        <v>-0</v>
      </c>
      <c r="X31" s="40" t="n">
        <f aca="false">-Capex!X29</f>
        <v>-0</v>
      </c>
      <c r="Y31" s="40" t="n">
        <f aca="false">-Capex!Y29</f>
        <v>-0</v>
      </c>
      <c r="Z31" s="40" t="n">
        <f aca="false">-Capex!Z29</f>
        <v>-0</v>
      </c>
      <c r="AA31" s="40" t="n">
        <f aca="false">-Capex!AA29</f>
        <v>-0</v>
      </c>
      <c r="AB31" s="40" t="n">
        <f aca="false">-Capex!AB29</f>
        <v>-0</v>
      </c>
      <c r="AC31" s="40" t="n">
        <f aca="false">-Capex!AC29</f>
        <v>-0</v>
      </c>
      <c r="AD31" s="40" t="n">
        <f aca="false">-Capex!AD29</f>
        <v>-0</v>
      </c>
      <c r="AE31" s="40" t="n">
        <f aca="false">-Capex!AE29</f>
        <v>-0</v>
      </c>
      <c r="AF31" s="40" t="n">
        <f aca="false">-Capex!AF29</f>
        <v>-0</v>
      </c>
      <c r="AG31" s="40" t="n">
        <f aca="false">-Capex!AG29</f>
        <v>-0</v>
      </c>
      <c r="AH31" s="40" t="n">
        <f aca="false">-Capex!AH29</f>
        <v>-0</v>
      </c>
      <c r="AI31" s="40" t="n">
        <f aca="false">-Capex!AI29</f>
        <v>-0</v>
      </c>
      <c r="AJ31" s="40" t="n">
        <f aca="false">-Capex!AJ29</f>
        <v>-0</v>
      </c>
      <c r="AK31" s="40" t="n">
        <f aca="false">-Capex!AK29</f>
        <v>-0</v>
      </c>
      <c r="AL31" s="40" t="n">
        <f aca="false">-Capex!AL29</f>
        <v>-0</v>
      </c>
      <c r="AM31" s="40" t="n">
        <f aca="false">-Capex!AM29</f>
        <v>-0</v>
      </c>
      <c r="AN31" s="40" t="n">
        <f aca="false">-Capex!AN29</f>
        <v>-0</v>
      </c>
      <c r="AO31" s="40" t="n">
        <f aca="false">-Capex!AO29</f>
        <v>-0</v>
      </c>
      <c r="AP31" s="40" t="n">
        <f aca="false">-Capex!AP29</f>
        <v>-0</v>
      </c>
      <c r="AQ31" s="40" t="n">
        <f aca="false">-Capex!AQ29</f>
        <v>-0</v>
      </c>
      <c r="AR31" s="40" t="n">
        <f aca="false">-Capex!AR29</f>
        <v>-0</v>
      </c>
      <c r="AS31" s="40" t="n">
        <f aca="false">-Capex!AS29</f>
        <v>-0</v>
      </c>
      <c r="AT31" s="40" t="n">
        <f aca="false">-Capex!AT29</f>
        <v>-0</v>
      </c>
      <c r="AU31" s="40" t="n">
        <f aca="false">-Capex!AU29</f>
        <v>-0</v>
      </c>
      <c r="AV31" s="40" t="n">
        <f aca="false">-Capex!AV29</f>
        <v>-0</v>
      </c>
      <c r="AW31" s="40" t="n">
        <f aca="false">-Capex!AW29</f>
        <v>-0</v>
      </c>
      <c r="AX31" s="40" t="n">
        <f aca="false">-Capex!AX29</f>
        <v>-0</v>
      </c>
      <c r="AY31" s="40" t="n">
        <f aca="false">-Capex!AY29</f>
        <v>-0</v>
      </c>
      <c r="AZ31" s="40" t="n">
        <f aca="false">-Capex!AZ29</f>
        <v>-0</v>
      </c>
    </row>
    <row r="32" customFormat="false" ht="15" hidden="false" customHeight="true" outlineLevel="0" collapsed="false">
      <c r="A32" s="6" t="s">
        <v>444</v>
      </c>
      <c r="B32" s="2"/>
      <c r="C32" s="44" t="n">
        <f aca="false">SUM(D32:AZ32)</f>
        <v>9846.87270962054</v>
      </c>
      <c r="D32" s="44" t="n">
        <f aca="false">D23+D28+D31</f>
        <v>-28.7832629420656</v>
      </c>
      <c r="E32" s="44" t="n">
        <f aca="false">E23+E28+E31</f>
        <v>-202.861237916539</v>
      </c>
      <c r="F32" s="44" t="n">
        <f aca="false">F23+F28+F31</f>
        <v>-245.256090291446</v>
      </c>
      <c r="G32" s="44" t="n">
        <f aca="false">G23+G28+G31</f>
        <v>-12.3885896191435</v>
      </c>
      <c r="H32" s="44" t="n">
        <f aca="false">H23+H28+H31</f>
        <v>88.0053662743687</v>
      </c>
      <c r="I32" s="44" t="n">
        <f aca="false">I23+I28+I31</f>
        <v>102.48339952946</v>
      </c>
      <c r="J32" s="44" t="n">
        <f aca="false">J23+J28+J31</f>
        <v>106.25937397437</v>
      </c>
      <c r="K32" s="44" t="n">
        <f aca="false">K23+K28+K31</f>
        <v>110.258903044751</v>
      </c>
      <c r="L32" s="44" t="n">
        <f aca="false">L23+L28+L31</f>
        <v>120.266091634105</v>
      </c>
      <c r="M32" s="44" t="n">
        <f aca="false">M23+M28+M31</f>
        <v>125.279225952564</v>
      </c>
      <c r="N32" s="44" t="n">
        <f aca="false">N23+N28+N31</f>
        <v>129.506848272121</v>
      </c>
      <c r="O32" s="44" t="n">
        <f aca="false">O23+O28+O31</f>
        <v>139.639077898405</v>
      </c>
      <c r="P32" s="44" t="n">
        <f aca="false">P23+P28+P31</f>
        <v>143.516772074896</v>
      </c>
      <c r="Q32" s="44" t="n">
        <f aca="false">Q23+Q28+Q31</f>
        <v>147.97699570198</v>
      </c>
      <c r="R32" s="44" t="n">
        <f aca="false">R23+R28+R31</f>
        <v>159.294787405193</v>
      </c>
      <c r="S32" s="44" t="n">
        <f aca="false">S23+S28+S31</f>
        <v>161.396409329156</v>
      </c>
      <c r="T32" s="44" t="n">
        <f aca="false">T23+T28+T31</f>
        <v>163.547749077832</v>
      </c>
      <c r="U32" s="44" t="n">
        <f aca="false">U23+U28+U31</f>
        <v>172.972970343893</v>
      </c>
      <c r="V32" s="44" t="n">
        <f aca="false">V23+V28+V31</f>
        <v>175.227315567727</v>
      </c>
      <c r="W32" s="44" t="n">
        <f aca="false">W23+W28+W31</f>
        <v>177.535005385802</v>
      </c>
      <c r="X32" s="44" t="n">
        <f aca="false">X23+X28+X31</f>
        <v>187.842588244938</v>
      </c>
      <c r="Y32" s="44" t="n">
        <f aca="false">Y23+Y28+Y31</f>
        <v>190.260798468486</v>
      </c>
      <c r="Z32" s="44" t="n">
        <f aca="false">Z23+Z28+Z31</f>
        <v>192.736245631869</v>
      </c>
      <c r="AA32" s="44" t="n">
        <f aca="false">AA23+AA28+AA31</f>
        <v>204.010099120187</v>
      </c>
      <c r="AB32" s="44" t="n">
        <f aca="false">AB23+AB28+AB31</f>
        <v>206.604131982503</v>
      </c>
      <c r="AC32" s="44" t="n">
        <f aca="false">AC23+AC28+AC31</f>
        <v>209.259579225978</v>
      </c>
      <c r="AD32" s="44" t="n">
        <f aca="false">AD23+AD28+AD31</f>
        <v>221.591690809829</v>
      </c>
      <c r="AE32" s="44" t="n">
        <f aca="false">AE23+AE28+AE31</f>
        <v>224.374379865173</v>
      </c>
      <c r="AF32" s="44" t="n">
        <f aca="false">AF23+AF28+AF31</f>
        <v>227.222966798235</v>
      </c>
      <c r="AG32" s="44" t="n">
        <f aca="false">AG23+AG28+AG31</f>
        <v>240.714187562876</v>
      </c>
      <c r="AH32" s="44" t="n">
        <f aca="false">AH23+AH28+AH31</f>
        <v>243.699306681098</v>
      </c>
      <c r="AI32" s="44" t="n">
        <f aca="false">AI23+AI28+AI31</f>
        <v>246.755135734748</v>
      </c>
      <c r="AJ32" s="44" t="n">
        <f aca="false">AJ23+AJ28+AJ31</f>
        <v>261.516042442946</v>
      </c>
      <c r="AK32" s="44" t="n">
        <f aca="false">AK23+AK28+AK31</f>
        <v>264.718374961768</v>
      </c>
      <c r="AL32" s="44" t="n">
        <f aca="false">AL23+AL28+AL31</f>
        <v>267.996582201687</v>
      </c>
      <c r="AM32" s="44" t="n">
        <f aca="false">AM23+AM28+AM31</f>
        <v>284.148423788776</v>
      </c>
      <c r="AN32" s="44" t="n">
        <f aca="false">AN23+AN28+AN31</f>
        <v>287.583836769792</v>
      </c>
      <c r="AO32" s="44" t="n">
        <f aca="false">AO23+AO28+AO31</f>
        <v>291.100667936238</v>
      </c>
      <c r="AP32" s="44" t="n">
        <f aca="false">AP23+AP28+AP31</f>
        <v>308.776404755942</v>
      </c>
      <c r="AQ32" s="44" t="n">
        <f aca="false">AQ23+AQ28+AQ31</f>
        <v>312.461928722312</v>
      </c>
      <c r="AR32" s="44" t="n">
        <f aca="false">AR23+AR28+AR31</f>
        <v>316.234820883819</v>
      </c>
      <c r="AS32" s="44" t="n">
        <f aca="false">AS23+AS28+AS31</f>
        <v>335.580265841128</v>
      </c>
      <c r="AT32" s="44" t="n">
        <f aca="false">AT23+AT28+AT31</f>
        <v>339.534180402993</v>
      </c>
      <c r="AU32" s="44" t="n">
        <f aca="false">AU23+AU28+AU31</f>
        <v>343.581849639755</v>
      </c>
      <c r="AV32" s="44" t="n">
        <f aca="false">AV23+AV28+AV31</f>
        <v>364.756921250535</v>
      </c>
      <c r="AW32" s="44" t="n">
        <f aca="false">AW23+AW28+AW31</f>
        <v>368.998847054389</v>
      </c>
      <c r="AX32" s="44" t="n">
        <f aca="false">AX23+AX28+AX31</f>
        <v>373.341382618081</v>
      </c>
      <c r="AY32" s="44" t="n">
        <f aca="false">AY23+AY28+AY31</f>
        <v>396.521481028193</v>
      </c>
      <c r="AZ32" s="44" t="n">
        <f aca="false">AZ23+AZ28+AZ31</f>
        <v>401.072478498835</v>
      </c>
    </row>
    <row r="33" customFormat="false" ht="15" hidden="false" customHeight="true" outlineLevel="0" collapsed="false">
      <c r="A33" s="13" t="s">
        <v>445</v>
      </c>
      <c r="B33" s="2"/>
      <c r="C33" s="2"/>
      <c r="D33" s="41" t="n">
        <f aca="false">D32</f>
        <v>-28.7832629420656</v>
      </c>
      <c r="E33" s="41" t="n">
        <f aca="false">D33+E32</f>
        <v>-231.644500858605</v>
      </c>
      <c r="F33" s="41" t="n">
        <f aca="false">E33+F32</f>
        <v>-476.900591150051</v>
      </c>
      <c r="G33" s="41" t="n">
        <f aca="false">F33+G32</f>
        <v>-489.289180769194</v>
      </c>
      <c r="H33" s="41" t="n">
        <f aca="false">G33+H32</f>
        <v>-401.283814494825</v>
      </c>
      <c r="I33" s="41" t="n">
        <f aca="false">H33+I32</f>
        <v>-298.800414965366</v>
      </c>
      <c r="J33" s="41" t="n">
        <f aca="false">I33+J32</f>
        <v>-192.541040990996</v>
      </c>
      <c r="K33" s="41" t="n">
        <f aca="false">J33+K32</f>
        <v>-82.2821379462449</v>
      </c>
      <c r="L33" s="41" t="n">
        <f aca="false">K33+L32</f>
        <v>37.9839536878605</v>
      </c>
      <c r="M33" s="41" t="n">
        <f aca="false">L33+M32</f>
        <v>163.263179640425</v>
      </c>
      <c r="N33" s="41" t="n">
        <f aca="false">M33+N32</f>
        <v>292.770027912546</v>
      </c>
      <c r="O33" s="41" t="n">
        <f aca="false">N33+O32</f>
        <v>432.409105810951</v>
      </c>
      <c r="P33" s="41" t="n">
        <f aca="false">O33+P32</f>
        <v>575.925877885847</v>
      </c>
      <c r="Q33" s="41" t="n">
        <f aca="false">P33+Q32</f>
        <v>723.902873587828</v>
      </c>
      <c r="R33" s="41" t="n">
        <f aca="false">Q33+R32</f>
        <v>883.197660993021</v>
      </c>
      <c r="S33" s="41" t="n">
        <f aca="false">R33+S32</f>
        <v>1044.59407032218</v>
      </c>
      <c r="T33" s="41" t="n">
        <f aca="false">S33+T32</f>
        <v>1208.14181940001</v>
      </c>
      <c r="U33" s="41" t="n">
        <f aca="false">T33+U32</f>
        <v>1381.1147897439</v>
      </c>
      <c r="V33" s="41" t="n">
        <f aca="false">U33+V32</f>
        <v>1556.34210531163</v>
      </c>
      <c r="W33" s="41" t="n">
        <f aca="false">V33+W32</f>
        <v>1733.87711069743</v>
      </c>
      <c r="X33" s="41" t="n">
        <f aca="false">W33+X32</f>
        <v>1921.71969894237</v>
      </c>
      <c r="Y33" s="41" t="n">
        <f aca="false">X33+Y32</f>
        <v>2111.98049741085</v>
      </c>
      <c r="Z33" s="41" t="n">
        <f aca="false">Y33+Z32</f>
        <v>2304.71674304272</v>
      </c>
      <c r="AA33" s="41" t="n">
        <f aca="false">Z33+AA32</f>
        <v>2508.72684216291</v>
      </c>
      <c r="AB33" s="41" t="n">
        <f aca="false">AA33+AB32</f>
        <v>2715.33097414541</v>
      </c>
      <c r="AC33" s="41" t="n">
        <f aca="false">AB33+AC32</f>
        <v>2924.59055337139</v>
      </c>
      <c r="AD33" s="41" t="n">
        <f aca="false">AC33+AD32</f>
        <v>3146.18224418122</v>
      </c>
      <c r="AE33" s="41" t="n">
        <f aca="false">AD33+AE32</f>
        <v>3370.55662404639</v>
      </c>
      <c r="AF33" s="41" t="n">
        <f aca="false">AE33+AF32</f>
        <v>3597.77959084463</v>
      </c>
      <c r="AG33" s="41" t="n">
        <f aca="false">AF33+AG32</f>
        <v>3838.49377840751</v>
      </c>
      <c r="AH33" s="41" t="n">
        <f aca="false">AG33+AH32</f>
        <v>4082.1930850886</v>
      </c>
      <c r="AI33" s="41" t="n">
        <f aca="false">AH33+AI32</f>
        <v>4328.94822082335</v>
      </c>
      <c r="AJ33" s="41" t="n">
        <f aca="false">AI33+AJ32</f>
        <v>4590.4642632663</v>
      </c>
      <c r="AK33" s="41" t="n">
        <f aca="false">AJ33+AK32</f>
        <v>4855.18263822807</v>
      </c>
      <c r="AL33" s="41" t="n">
        <f aca="false">AK33+AL32</f>
        <v>5123.17922042975</v>
      </c>
      <c r="AM33" s="41" t="n">
        <f aca="false">AL33+AM32</f>
        <v>5407.32764421853</v>
      </c>
      <c r="AN33" s="41" t="n">
        <f aca="false">AM33+AN32</f>
        <v>5694.91148098832</v>
      </c>
      <c r="AO33" s="41" t="n">
        <f aca="false">AN33+AO32</f>
        <v>5986.01214892456</v>
      </c>
      <c r="AP33" s="41" t="n">
        <f aca="false">AO33+AP32</f>
        <v>6294.7885536805</v>
      </c>
      <c r="AQ33" s="41" t="n">
        <f aca="false">AP33+AQ32</f>
        <v>6607.25048240281</v>
      </c>
      <c r="AR33" s="41" t="n">
        <f aca="false">AQ33+AR32</f>
        <v>6923.48530328663</v>
      </c>
      <c r="AS33" s="41" t="n">
        <f aca="false">AR33+AS32</f>
        <v>7259.06556912776</v>
      </c>
      <c r="AT33" s="41" t="n">
        <f aca="false">AS33+AT32</f>
        <v>7598.59974953075</v>
      </c>
      <c r="AU33" s="41" t="n">
        <f aca="false">AT33+AU32</f>
        <v>7942.18159917051</v>
      </c>
      <c r="AV33" s="41" t="n">
        <f aca="false">AU33+AV32</f>
        <v>8306.93852042104</v>
      </c>
      <c r="AW33" s="41" t="n">
        <f aca="false">AV33+AW32</f>
        <v>8675.93736747543</v>
      </c>
      <c r="AX33" s="41" t="n">
        <f aca="false">AW33+AX32</f>
        <v>9049.27875009351</v>
      </c>
      <c r="AY33" s="41" t="n">
        <f aca="false">AX33+AY32</f>
        <v>9445.8002311217</v>
      </c>
      <c r="AZ33" s="41" t="n">
        <f aca="false">AY33+AZ32</f>
        <v>9846.87270962054</v>
      </c>
    </row>
    <row r="34" customFormat="false" ht="15" hidden="false" customHeight="true" outlineLevel="0" collapsed="false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customFormat="false" ht="15" hidden="false" customHeight="true" outlineLevel="0" collapsed="false">
      <c r="A35" s="11" t="s">
        <v>446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</row>
    <row r="36" customFormat="false" ht="15" hidden="false" customHeight="true" outlineLevel="0" collapsed="false">
      <c r="A36" s="13" t="s">
        <v>447</v>
      </c>
      <c r="B36" s="2"/>
      <c r="C36" s="2"/>
      <c r="D36" s="41" t="n">
        <v>0</v>
      </c>
      <c r="E36" s="41" t="n">
        <f aca="false">D39</f>
        <v>38.7832629420656</v>
      </c>
      <c r="F36" s="41" t="n">
        <f aca="false">E39</f>
        <v>241.644500858605</v>
      </c>
      <c r="G36" s="41" t="n">
        <f aca="false">F39</f>
        <v>486.900591150051</v>
      </c>
      <c r="H36" s="41" t="n">
        <f aca="false">G39</f>
        <v>499.289180769194</v>
      </c>
      <c r="I36" s="41" t="n">
        <f aca="false">H39</f>
        <v>411.283814494825</v>
      </c>
      <c r="J36" s="41" t="n">
        <f aca="false">I39</f>
        <v>308.800414965366</v>
      </c>
      <c r="K36" s="41" t="n">
        <f aca="false">J39</f>
        <v>202.541040990996</v>
      </c>
      <c r="L36" s="41" t="n">
        <f aca="false">K39</f>
        <v>92.2821379462449</v>
      </c>
      <c r="M36" s="41" t="n">
        <f aca="false">L39</f>
        <v>0</v>
      </c>
      <c r="N36" s="41" t="n">
        <f aca="false">M39</f>
        <v>0</v>
      </c>
      <c r="O36" s="41" t="n">
        <f aca="false">N39</f>
        <v>0</v>
      </c>
      <c r="P36" s="41" t="n">
        <f aca="false">O39</f>
        <v>0</v>
      </c>
      <c r="Q36" s="41" t="n">
        <f aca="false">P39</f>
        <v>0</v>
      </c>
      <c r="R36" s="41" t="n">
        <f aca="false">Q39</f>
        <v>0</v>
      </c>
      <c r="S36" s="41" t="n">
        <f aca="false">R39</f>
        <v>0</v>
      </c>
      <c r="T36" s="41" t="n">
        <f aca="false">S39</f>
        <v>0</v>
      </c>
      <c r="U36" s="41" t="n">
        <f aca="false">T39</f>
        <v>0</v>
      </c>
      <c r="V36" s="41" t="n">
        <f aca="false">U39</f>
        <v>0</v>
      </c>
      <c r="W36" s="41" t="n">
        <f aca="false">V39</f>
        <v>0</v>
      </c>
      <c r="X36" s="41" t="n">
        <f aca="false">W39</f>
        <v>0</v>
      </c>
      <c r="Y36" s="41" t="n">
        <f aca="false">X39</f>
        <v>0</v>
      </c>
      <c r="Z36" s="41" t="n">
        <f aca="false">Y39</f>
        <v>0</v>
      </c>
      <c r="AA36" s="41" t="n">
        <f aca="false">Z39</f>
        <v>0</v>
      </c>
      <c r="AB36" s="41" t="n">
        <f aca="false">AA39</f>
        <v>0</v>
      </c>
      <c r="AC36" s="41" t="n">
        <f aca="false">AB39</f>
        <v>0</v>
      </c>
      <c r="AD36" s="41" t="n">
        <f aca="false">AC39</f>
        <v>0</v>
      </c>
      <c r="AE36" s="41" t="n">
        <f aca="false">AD39</f>
        <v>0</v>
      </c>
      <c r="AF36" s="41" t="n">
        <f aca="false">AE39</f>
        <v>0</v>
      </c>
      <c r="AG36" s="41" t="n">
        <f aca="false">AF39</f>
        <v>0</v>
      </c>
      <c r="AH36" s="41" t="n">
        <f aca="false">AG39</f>
        <v>0</v>
      </c>
      <c r="AI36" s="41" t="n">
        <f aca="false">AH39</f>
        <v>0</v>
      </c>
      <c r="AJ36" s="41" t="n">
        <f aca="false">AI39</f>
        <v>0</v>
      </c>
      <c r="AK36" s="41" t="n">
        <f aca="false">AJ39</f>
        <v>0</v>
      </c>
      <c r="AL36" s="41" t="n">
        <f aca="false">AK39</f>
        <v>0</v>
      </c>
      <c r="AM36" s="41" t="n">
        <f aca="false">AL39</f>
        <v>0</v>
      </c>
      <c r="AN36" s="41" t="n">
        <f aca="false">AM39</f>
        <v>0</v>
      </c>
      <c r="AO36" s="41" t="n">
        <f aca="false">AN39</f>
        <v>0</v>
      </c>
      <c r="AP36" s="41" t="n">
        <f aca="false">AO39</f>
        <v>0</v>
      </c>
      <c r="AQ36" s="41" t="n">
        <f aca="false">AP39</f>
        <v>0</v>
      </c>
      <c r="AR36" s="41" t="n">
        <f aca="false">AQ39</f>
        <v>0</v>
      </c>
      <c r="AS36" s="41" t="n">
        <f aca="false">AR39</f>
        <v>0</v>
      </c>
      <c r="AT36" s="41" t="n">
        <f aca="false">AS39</f>
        <v>0</v>
      </c>
      <c r="AU36" s="41" t="n">
        <f aca="false">AT39</f>
        <v>0</v>
      </c>
      <c r="AV36" s="41" t="n">
        <f aca="false">AU39</f>
        <v>0</v>
      </c>
      <c r="AW36" s="41" t="n">
        <f aca="false">AV39</f>
        <v>0</v>
      </c>
      <c r="AX36" s="41" t="n">
        <f aca="false">AW39</f>
        <v>0</v>
      </c>
      <c r="AY36" s="41" t="n">
        <f aca="false">AX39</f>
        <v>0</v>
      </c>
      <c r="AZ36" s="41" t="n">
        <f aca="false">AY39</f>
        <v>0</v>
      </c>
    </row>
    <row r="37" customFormat="false" ht="15" hidden="false" customHeight="true" outlineLevel="0" collapsed="false">
      <c r="A37" s="13" t="s">
        <v>448</v>
      </c>
      <c r="B37" s="2"/>
      <c r="C37" s="41" t="n">
        <f aca="false">SUM(D37:AZ37)</f>
        <v>499.289180769194</v>
      </c>
      <c r="D37" s="41" t="n">
        <f aca="false">MAX(0,-(D32-Inputs!$B$23))</f>
        <v>38.7832629420656</v>
      </c>
      <c r="E37" s="41" t="n">
        <f aca="false">MAX(0,-(E32+D42-Inputs!$B$23))</f>
        <v>202.861237916539</v>
      </c>
      <c r="F37" s="41" t="n">
        <f aca="false">MAX(0,-(F32+E42-Inputs!$B$23))</f>
        <v>245.256090291446</v>
      </c>
      <c r="G37" s="41" t="n">
        <f aca="false">MAX(0,-(G32+F42-Inputs!$B$23))</f>
        <v>12.3885896191435</v>
      </c>
      <c r="H37" s="41" t="n">
        <f aca="false">MAX(0,-(H32+G42-Inputs!$B$23))</f>
        <v>0</v>
      </c>
      <c r="I37" s="41" t="n">
        <f aca="false">MAX(0,-(I32+H42-Inputs!$B$23))</f>
        <v>0</v>
      </c>
      <c r="J37" s="41" t="n">
        <f aca="false">MAX(0,-(J32+I42-Inputs!$B$23))</f>
        <v>0</v>
      </c>
      <c r="K37" s="41" t="n">
        <f aca="false">MAX(0,-(K32+J42-Inputs!$B$23))</f>
        <v>0</v>
      </c>
      <c r="L37" s="41" t="n">
        <f aca="false">MAX(0,-(L32+K42-Inputs!$B$23))</f>
        <v>0</v>
      </c>
      <c r="M37" s="41" t="n">
        <f aca="false">MAX(0,-(M32+L42-Inputs!$B$23))</f>
        <v>0</v>
      </c>
      <c r="N37" s="41" t="n">
        <f aca="false">MAX(0,-(N32+M42-Inputs!$B$23))</f>
        <v>0</v>
      </c>
      <c r="O37" s="41" t="n">
        <f aca="false">MAX(0,-(O32+N42-Inputs!$B$23))</f>
        <v>0</v>
      </c>
      <c r="P37" s="41" t="n">
        <f aca="false">MAX(0,-(P32+O42-Inputs!$B$23))</f>
        <v>0</v>
      </c>
      <c r="Q37" s="41" t="n">
        <f aca="false">MAX(0,-(Q32+P42-Inputs!$B$23))</f>
        <v>0</v>
      </c>
      <c r="R37" s="41" t="n">
        <f aca="false">MAX(0,-(R32+Q42-Inputs!$B$23))</f>
        <v>0</v>
      </c>
      <c r="S37" s="41" t="n">
        <f aca="false">MAX(0,-(S32+R42-Inputs!$B$23))</f>
        <v>0</v>
      </c>
      <c r="T37" s="41" t="n">
        <f aca="false">MAX(0,-(T32+S42-Inputs!$B$23))</f>
        <v>0</v>
      </c>
      <c r="U37" s="41" t="n">
        <f aca="false">MAX(0,-(U32+T42-Inputs!$B$23))</f>
        <v>0</v>
      </c>
      <c r="V37" s="41" t="n">
        <f aca="false">MAX(0,-(V32+U42-Inputs!$B$23))</f>
        <v>0</v>
      </c>
      <c r="W37" s="41" t="n">
        <f aca="false">MAX(0,-(W32+V42-Inputs!$B$23))</f>
        <v>0</v>
      </c>
      <c r="X37" s="41" t="n">
        <f aca="false">MAX(0,-(X32+W42-Inputs!$B$23))</f>
        <v>0</v>
      </c>
      <c r="Y37" s="41" t="n">
        <f aca="false">MAX(0,-(Y32+X42-Inputs!$B$23))</f>
        <v>0</v>
      </c>
      <c r="Z37" s="41" t="n">
        <f aca="false">MAX(0,-(Z32+Y42-Inputs!$B$23))</f>
        <v>0</v>
      </c>
      <c r="AA37" s="41" t="n">
        <f aca="false">MAX(0,-(AA32+Z42-Inputs!$B$23))</f>
        <v>0</v>
      </c>
      <c r="AB37" s="41" t="n">
        <f aca="false">MAX(0,-(AB32+AA42-Inputs!$B$23))</f>
        <v>0</v>
      </c>
      <c r="AC37" s="41" t="n">
        <f aca="false">MAX(0,-(AC32+AB42-Inputs!$B$23))</f>
        <v>0</v>
      </c>
      <c r="AD37" s="41" t="n">
        <f aca="false">MAX(0,-(AD32+AC42-Inputs!$B$23))</f>
        <v>0</v>
      </c>
      <c r="AE37" s="41" t="n">
        <f aca="false">MAX(0,-(AE32+AD42-Inputs!$B$23))</f>
        <v>0</v>
      </c>
      <c r="AF37" s="41" t="n">
        <f aca="false">MAX(0,-(AF32+AE42-Inputs!$B$23))</f>
        <v>0</v>
      </c>
      <c r="AG37" s="41" t="n">
        <f aca="false">MAX(0,-(AG32+AF42-Inputs!$B$23))</f>
        <v>0</v>
      </c>
      <c r="AH37" s="41" t="n">
        <f aca="false">MAX(0,-(AH32+AG42-Inputs!$B$23))</f>
        <v>0</v>
      </c>
      <c r="AI37" s="41" t="n">
        <f aca="false">MAX(0,-(AI32+AH42-Inputs!$B$23))</f>
        <v>0</v>
      </c>
      <c r="AJ37" s="41" t="n">
        <f aca="false">MAX(0,-(AJ32+AI42-Inputs!$B$23))</f>
        <v>0</v>
      </c>
      <c r="AK37" s="41" t="n">
        <f aca="false">MAX(0,-(AK32+AJ42-Inputs!$B$23))</f>
        <v>0</v>
      </c>
      <c r="AL37" s="41" t="n">
        <f aca="false">MAX(0,-(AL32+AK42-Inputs!$B$23))</f>
        <v>0</v>
      </c>
      <c r="AM37" s="41" t="n">
        <f aca="false">MAX(0,-(AM32+AL42-Inputs!$B$23))</f>
        <v>0</v>
      </c>
      <c r="AN37" s="41" t="n">
        <f aca="false">MAX(0,-(AN32+AM42-Inputs!$B$23))</f>
        <v>0</v>
      </c>
      <c r="AO37" s="41" t="n">
        <f aca="false">MAX(0,-(AO32+AN42-Inputs!$B$23))</f>
        <v>0</v>
      </c>
      <c r="AP37" s="41" t="n">
        <f aca="false">MAX(0,-(AP32+AO42-Inputs!$B$23))</f>
        <v>0</v>
      </c>
      <c r="AQ37" s="41" t="n">
        <f aca="false">MAX(0,-(AQ32+AP42-Inputs!$B$23))</f>
        <v>0</v>
      </c>
      <c r="AR37" s="41" t="n">
        <f aca="false">MAX(0,-(AR32+AQ42-Inputs!$B$23))</f>
        <v>0</v>
      </c>
      <c r="AS37" s="41" t="n">
        <f aca="false">MAX(0,-(AS32+AR42-Inputs!$B$23))</f>
        <v>0</v>
      </c>
      <c r="AT37" s="41" t="n">
        <f aca="false">MAX(0,-(AT32+AS42-Inputs!$B$23))</f>
        <v>0</v>
      </c>
      <c r="AU37" s="41" t="n">
        <f aca="false">MAX(0,-(AU32+AT42-Inputs!$B$23))</f>
        <v>0</v>
      </c>
      <c r="AV37" s="41" t="n">
        <f aca="false">MAX(0,-(AV32+AU42-Inputs!$B$23))</f>
        <v>0</v>
      </c>
      <c r="AW37" s="41" t="n">
        <f aca="false">MAX(0,-(AW32+AV42-Inputs!$B$23))</f>
        <v>0</v>
      </c>
      <c r="AX37" s="41" t="n">
        <f aca="false">MAX(0,-(AX32+AW42-Inputs!$B$23))</f>
        <v>0</v>
      </c>
      <c r="AY37" s="41" t="n">
        <f aca="false">MAX(0,-(AY32+AX42-Inputs!$B$23))</f>
        <v>0</v>
      </c>
      <c r="AZ37" s="41" t="n">
        <f aca="false">MAX(0,-(AZ32+AY42-Inputs!$B$23))</f>
        <v>0</v>
      </c>
    </row>
    <row r="38" customFormat="false" ht="15" hidden="false" customHeight="true" outlineLevel="0" collapsed="false">
      <c r="A38" s="13" t="s">
        <v>449</v>
      </c>
      <c r="B38" s="2"/>
      <c r="C38" s="41" t="n">
        <f aca="false">SUM(D38:AZ38)</f>
        <v>-499.289180769194</v>
      </c>
      <c r="D38" s="41" t="n">
        <f aca="false">-MIN(D36+D37,MAX(0,D32+D37+0-Inputs!$B$23))</f>
        <v>-0</v>
      </c>
      <c r="E38" s="41" t="n">
        <f aca="false">-MIN(E36+E37,MAX(0,E32+E37+D42-Inputs!$B$23))</f>
        <v>-0</v>
      </c>
      <c r="F38" s="41" t="n">
        <f aca="false">-MIN(F36+F37,MAX(0,F32+F37+E42-Inputs!$B$23))</f>
        <v>-0</v>
      </c>
      <c r="G38" s="41" t="n">
        <f aca="false">-MIN(G36+G37,MAX(0,G32+G37+F42-Inputs!$B$23))</f>
        <v>-0</v>
      </c>
      <c r="H38" s="41" t="n">
        <f aca="false">-MIN(H36+H37,MAX(0,H32+H37+G42-Inputs!$B$23))</f>
        <v>-88.0053662743687</v>
      </c>
      <c r="I38" s="41" t="n">
        <f aca="false">-MIN(I36+I37,MAX(0,I32+I37+H42-Inputs!$B$23))</f>
        <v>-102.48339952946</v>
      </c>
      <c r="J38" s="41" t="n">
        <f aca="false">-MIN(J36+J37,MAX(0,J32+J37+I42-Inputs!$B$23))</f>
        <v>-106.25937397437</v>
      </c>
      <c r="K38" s="41" t="n">
        <f aca="false">-MIN(K36+K37,MAX(0,K32+K37+J42-Inputs!$B$23))</f>
        <v>-110.258903044751</v>
      </c>
      <c r="L38" s="41" t="n">
        <f aca="false">-MIN(L36+L37,MAX(0,L32+L37+K42-Inputs!$B$23))</f>
        <v>-92.2821379462449</v>
      </c>
      <c r="M38" s="41" t="n">
        <f aca="false">-MIN(M36+M37,MAX(0,M32+M37+L42-Inputs!$B$23))</f>
        <v>-0</v>
      </c>
      <c r="N38" s="41" t="n">
        <f aca="false">-MIN(N36+N37,MAX(0,N32+N37+M42-Inputs!$B$23))</f>
        <v>-0</v>
      </c>
      <c r="O38" s="41" t="n">
        <f aca="false">-MIN(O36+O37,MAX(0,O32+O37+N42-Inputs!$B$23))</f>
        <v>-0</v>
      </c>
      <c r="P38" s="41" t="n">
        <f aca="false">-MIN(P36+P37,MAX(0,P32+P37+O42-Inputs!$B$23))</f>
        <v>-0</v>
      </c>
      <c r="Q38" s="41" t="n">
        <f aca="false">-MIN(Q36+Q37,MAX(0,Q32+Q37+P42-Inputs!$B$23))</f>
        <v>-0</v>
      </c>
      <c r="R38" s="41" t="n">
        <f aca="false">-MIN(R36+R37,MAX(0,R32+R37+Q42-Inputs!$B$23))</f>
        <v>-0</v>
      </c>
      <c r="S38" s="41" t="n">
        <f aca="false">-MIN(S36+S37,MAX(0,S32+S37+R42-Inputs!$B$23))</f>
        <v>-0</v>
      </c>
      <c r="T38" s="41" t="n">
        <f aca="false">-MIN(T36+T37,MAX(0,T32+T37+S42-Inputs!$B$23))</f>
        <v>-0</v>
      </c>
      <c r="U38" s="41" t="n">
        <f aca="false">-MIN(U36+U37,MAX(0,U32+U37+T42-Inputs!$B$23))</f>
        <v>-0</v>
      </c>
      <c r="V38" s="41" t="n">
        <f aca="false">-MIN(V36+V37,MAX(0,V32+V37+U42-Inputs!$B$23))</f>
        <v>-0</v>
      </c>
      <c r="W38" s="41" t="n">
        <f aca="false">-MIN(W36+W37,MAX(0,W32+W37+V42-Inputs!$B$23))</f>
        <v>-0</v>
      </c>
      <c r="X38" s="41" t="n">
        <f aca="false">-MIN(X36+X37,MAX(0,X32+X37+W42-Inputs!$B$23))</f>
        <v>-0</v>
      </c>
      <c r="Y38" s="41" t="n">
        <f aca="false">-MIN(Y36+Y37,MAX(0,Y32+Y37+X42-Inputs!$B$23))</f>
        <v>-0</v>
      </c>
      <c r="Z38" s="41" t="n">
        <f aca="false">-MIN(Z36+Z37,MAX(0,Z32+Z37+Y42-Inputs!$B$23))</f>
        <v>-0</v>
      </c>
      <c r="AA38" s="41" t="n">
        <f aca="false">-MIN(AA36+AA37,MAX(0,AA32+AA37+Z42-Inputs!$B$23))</f>
        <v>-0</v>
      </c>
      <c r="AB38" s="41" t="n">
        <f aca="false">-MIN(AB36+AB37,MAX(0,AB32+AB37+AA42-Inputs!$B$23))</f>
        <v>-0</v>
      </c>
      <c r="AC38" s="41" t="n">
        <f aca="false">-MIN(AC36+AC37,MAX(0,AC32+AC37+AB42-Inputs!$B$23))</f>
        <v>-0</v>
      </c>
      <c r="AD38" s="41" t="n">
        <f aca="false">-MIN(AD36+AD37,MAX(0,AD32+AD37+AC42-Inputs!$B$23))</f>
        <v>-0</v>
      </c>
      <c r="AE38" s="41" t="n">
        <f aca="false">-MIN(AE36+AE37,MAX(0,AE32+AE37+AD42-Inputs!$B$23))</f>
        <v>-0</v>
      </c>
      <c r="AF38" s="41" t="n">
        <f aca="false">-MIN(AF36+AF37,MAX(0,AF32+AF37+AE42-Inputs!$B$23))</f>
        <v>-0</v>
      </c>
      <c r="AG38" s="41" t="n">
        <f aca="false">-MIN(AG36+AG37,MAX(0,AG32+AG37+AF42-Inputs!$B$23))</f>
        <v>-0</v>
      </c>
      <c r="AH38" s="41" t="n">
        <f aca="false">-MIN(AH36+AH37,MAX(0,AH32+AH37+AG42-Inputs!$B$23))</f>
        <v>-0</v>
      </c>
      <c r="AI38" s="41" t="n">
        <f aca="false">-MIN(AI36+AI37,MAX(0,AI32+AI37+AH42-Inputs!$B$23))</f>
        <v>-0</v>
      </c>
      <c r="AJ38" s="41" t="n">
        <f aca="false">-MIN(AJ36+AJ37,MAX(0,AJ32+AJ37+AI42-Inputs!$B$23))</f>
        <v>-0</v>
      </c>
      <c r="AK38" s="41" t="n">
        <f aca="false">-MIN(AK36+AK37,MAX(0,AK32+AK37+AJ42-Inputs!$B$23))</f>
        <v>-0</v>
      </c>
      <c r="AL38" s="41" t="n">
        <f aca="false">-MIN(AL36+AL37,MAX(0,AL32+AL37+AK42-Inputs!$B$23))</f>
        <v>-0</v>
      </c>
      <c r="AM38" s="41" t="n">
        <f aca="false">-MIN(AM36+AM37,MAX(0,AM32+AM37+AL42-Inputs!$B$23))</f>
        <v>-0</v>
      </c>
      <c r="AN38" s="41" t="n">
        <f aca="false">-MIN(AN36+AN37,MAX(0,AN32+AN37+AM42-Inputs!$B$23))</f>
        <v>-0</v>
      </c>
      <c r="AO38" s="41" t="n">
        <f aca="false">-MIN(AO36+AO37,MAX(0,AO32+AO37+AN42-Inputs!$B$23))</f>
        <v>-0</v>
      </c>
      <c r="AP38" s="41" t="n">
        <f aca="false">-MIN(AP36+AP37,MAX(0,AP32+AP37+AO42-Inputs!$B$23))</f>
        <v>-0</v>
      </c>
      <c r="AQ38" s="41" t="n">
        <f aca="false">-MIN(AQ36+AQ37,MAX(0,AQ32+AQ37+AP42-Inputs!$B$23))</f>
        <v>-0</v>
      </c>
      <c r="AR38" s="41" t="n">
        <f aca="false">-MIN(AR36+AR37,MAX(0,AR32+AR37+AQ42-Inputs!$B$23))</f>
        <v>-0</v>
      </c>
      <c r="AS38" s="41" t="n">
        <f aca="false">-MIN(AS36+AS37,MAX(0,AS32+AS37+AR42-Inputs!$B$23))</f>
        <v>-0</v>
      </c>
      <c r="AT38" s="41" t="n">
        <f aca="false">-MIN(AT36+AT37,MAX(0,AT32+AT37+AS42-Inputs!$B$23))</f>
        <v>-0</v>
      </c>
      <c r="AU38" s="41" t="n">
        <f aca="false">-MIN(AU36+AU37,MAX(0,AU32+AU37+AT42-Inputs!$B$23))</f>
        <v>-0</v>
      </c>
      <c r="AV38" s="41" t="n">
        <f aca="false">-MIN(AV36+AV37,MAX(0,AV32+AV37+AU42-Inputs!$B$23))</f>
        <v>-0</v>
      </c>
      <c r="AW38" s="41" t="n">
        <f aca="false">-MIN(AW36+AW37,MAX(0,AW32+AW37+AV42-Inputs!$B$23))</f>
        <v>-0</v>
      </c>
      <c r="AX38" s="41" t="n">
        <f aca="false">-MIN(AX36+AX37,MAX(0,AX32+AX37+AW42-Inputs!$B$23))</f>
        <v>-0</v>
      </c>
      <c r="AY38" s="41" t="n">
        <f aca="false">-MIN(AY36+AY37,MAX(0,AY32+AY37+AX42-Inputs!$B$23))</f>
        <v>-0</v>
      </c>
      <c r="AZ38" s="41" t="n">
        <f aca="false">-MIN(AZ36+AZ37,MAX(0,AZ32+AZ37+AY42-Inputs!$B$23))</f>
        <v>-0</v>
      </c>
    </row>
    <row r="39" customFormat="false" ht="15" hidden="false" customHeight="true" outlineLevel="0" collapsed="false">
      <c r="A39" s="6" t="s">
        <v>450</v>
      </c>
      <c r="B39" s="2"/>
      <c r="C39" s="2"/>
      <c r="D39" s="21" t="n">
        <f aca="false">D36+D37+D38</f>
        <v>38.7832629420656</v>
      </c>
      <c r="E39" s="21" t="n">
        <f aca="false">E36+E37+E38</f>
        <v>241.644500858605</v>
      </c>
      <c r="F39" s="21" t="n">
        <f aca="false">F36+F37+F38</f>
        <v>486.900591150051</v>
      </c>
      <c r="G39" s="21" t="n">
        <f aca="false">G36+G37+G38</f>
        <v>499.289180769194</v>
      </c>
      <c r="H39" s="21" t="n">
        <f aca="false">H36+H37+H38</f>
        <v>411.283814494825</v>
      </c>
      <c r="I39" s="21" t="n">
        <f aca="false">I36+I37+I38</f>
        <v>308.800414965366</v>
      </c>
      <c r="J39" s="21" t="n">
        <f aca="false">J36+J37+J38</f>
        <v>202.541040990996</v>
      </c>
      <c r="K39" s="21" t="n">
        <f aca="false">K36+K37+K38</f>
        <v>92.2821379462449</v>
      </c>
      <c r="L39" s="21" t="n">
        <f aca="false">L36+L37+L38</f>
        <v>0</v>
      </c>
      <c r="M39" s="21" t="n">
        <f aca="false">M36+M37+M38</f>
        <v>0</v>
      </c>
      <c r="N39" s="21" t="n">
        <f aca="false">N36+N37+N38</f>
        <v>0</v>
      </c>
      <c r="O39" s="21" t="n">
        <f aca="false">O36+O37+O38</f>
        <v>0</v>
      </c>
      <c r="P39" s="21" t="n">
        <f aca="false">P36+P37+P38</f>
        <v>0</v>
      </c>
      <c r="Q39" s="21" t="n">
        <f aca="false">Q36+Q37+Q38</f>
        <v>0</v>
      </c>
      <c r="R39" s="21" t="n">
        <f aca="false">R36+R37+R38</f>
        <v>0</v>
      </c>
      <c r="S39" s="21" t="n">
        <f aca="false">S36+S37+S38</f>
        <v>0</v>
      </c>
      <c r="T39" s="21" t="n">
        <f aca="false">T36+T37+T38</f>
        <v>0</v>
      </c>
      <c r="U39" s="21" t="n">
        <f aca="false">U36+U37+U38</f>
        <v>0</v>
      </c>
      <c r="V39" s="21" t="n">
        <f aca="false">V36+V37+V38</f>
        <v>0</v>
      </c>
      <c r="W39" s="21" t="n">
        <f aca="false">W36+W37+W38</f>
        <v>0</v>
      </c>
      <c r="X39" s="21" t="n">
        <f aca="false">X36+X37+X38</f>
        <v>0</v>
      </c>
      <c r="Y39" s="21" t="n">
        <f aca="false">Y36+Y37+Y38</f>
        <v>0</v>
      </c>
      <c r="Z39" s="21" t="n">
        <f aca="false">Z36+Z37+Z38</f>
        <v>0</v>
      </c>
      <c r="AA39" s="21" t="n">
        <f aca="false">AA36+AA37+AA38</f>
        <v>0</v>
      </c>
      <c r="AB39" s="21" t="n">
        <f aca="false">AB36+AB37+AB38</f>
        <v>0</v>
      </c>
      <c r="AC39" s="21" t="n">
        <f aca="false">AC36+AC37+AC38</f>
        <v>0</v>
      </c>
      <c r="AD39" s="21" t="n">
        <f aca="false">AD36+AD37+AD38</f>
        <v>0</v>
      </c>
      <c r="AE39" s="21" t="n">
        <f aca="false">AE36+AE37+AE38</f>
        <v>0</v>
      </c>
      <c r="AF39" s="21" t="n">
        <f aca="false">AF36+AF37+AF38</f>
        <v>0</v>
      </c>
      <c r="AG39" s="21" t="n">
        <f aca="false">AG36+AG37+AG38</f>
        <v>0</v>
      </c>
      <c r="AH39" s="21" t="n">
        <f aca="false">AH36+AH37+AH38</f>
        <v>0</v>
      </c>
      <c r="AI39" s="21" t="n">
        <f aca="false">AI36+AI37+AI38</f>
        <v>0</v>
      </c>
      <c r="AJ39" s="21" t="n">
        <f aca="false">AJ36+AJ37+AJ38</f>
        <v>0</v>
      </c>
      <c r="AK39" s="21" t="n">
        <f aca="false">AK36+AK37+AK38</f>
        <v>0</v>
      </c>
      <c r="AL39" s="21" t="n">
        <f aca="false">AL36+AL37+AL38</f>
        <v>0</v>
      </c>
      <c r="AM39" s="21" t="n">
        <f aca="false">AM36+AM37+AM38</f>
        <v>0</v>
      </c>
      <c r="AN39" s="21" t="n">
        <f aca="false">AN36+AN37+AN38</f>
        <v>0</v>
      </c>
      <c r="AO39" s="21" t="n">
        <f aca="false">AO36+AO37+AO38</f>
        <v>0</v>
      </c>
      <c r="AP39" s="21" t="n">
        <f aca="false">AP36+AP37+AP38</f>
        <v>0</v>
      </c>
      <c r="AQ39" s="21" t="n">
        <f aca="false">AQ36+AQ37+AQ38</f>
        <v>0</v>
      </c>
      <c r="AR39" s="21" t="n">
        <f aca="false">AR36+AR37+AR38</f>
        <v>0</v>
      </c>
      <c r="AS39" s="21" t="n">
        <f aca="false">AS36+AS37+AS38</f>
        <v>0</v>
      </c>
      <c r="AT39" s="21" t="n">
        <f aca="false">AT36+AT37+AT38</f>
        <v>0</v>
      </c>
      <c r="AU39" s="21" t="n">
        <f aca="false">AU36+AU37+AU38</f>
        <v>0</v>
      </c>
      <c r="AV39" s="21" t="n">
        <f aca="false">AV36+AV37+AV38</f>
        <v>0</v>
      </c>
      <c r="AW39" s="21" t="n">
        <f aca="false">AW36+AW37+AW38</f>
        <v>0</v>
      </c>
      <c r="AX39" s="21" t="n">
        <f aca="false">AX36+AX37+AX38</f>
        <v>0</v>
      </c>
      <c r="AY39" s="21" t="n">
        <f aca="false">AY36+AY37+AY38</f>
        <v>0</v>
      </c>
      <c r="AZ39" s="21" t="n">
        <f aca="false">AZ36+AZ37+AZ38</f>
        <v>0</v>
      </c>
    </row>
    <row r="40" customFormat="false" ht="15" hidden="false" customHeight="true" outlineLevel="0" collapsed="false">
      <c r="A40" s="6" t="s">
        <v>451</v>
      </c>
      <c r="B40" s="2"/>
      <c r="C40" s="21" t="n">
        <f aca="false">SUM(D40:AZ40)</f>
        <v>9836.87270962054</v>
      </c>
      <c r="D40" s="21" t="n">
        <f aca="false">MAX(0,D32+D37+D38+0-Inputs!$B$23)</f>
        <v>0</v>
      </c>
      <c r="E40" s="21" t="n">
        <f aca="false">MAX(0,E32+E37+E38+D42-Inputs!$B$23)</f>
        <v>0</v>
      </c>
      <c r="F40" s="21" t="n">
        <f aca="false">MAX(0,F32+F37+F38+E42-Inputs!$B$23)</f>
        <v>0</v>
      </c>
      <c r="G40" s="21" t="n">
        <f aca="false">MAX(0,G32+G37+G38+F42-Inputs!$B$23)</f>
        <v>0</v>
      </c>
      <c r="H40" s="21" t="n">
        <f aca="false">MAX(0,H32+H37+H38+G42-Inputs!$B$23)</f>
        <v>0</v>
      </c>
      <c r="I40" s="21" t="n">
        <f aca="false">MAX(0,I32+I37+I38+H42-Inputs!$B$23)</f>
        <v>0</v>
      </c>
      <c r="J40" s="21" t="n">
        <f aca="false">MAX(0,J32+J37+J38+I42-Inputs!$B$23)</f>
        <v>0</v>
      </c>
      <c r="K40" s="21" t="n">
        <f aca="false">MAX(0,K32+K37+K38+J42-Inputs!$B$23)</f>
        <v>0</v>
      </c>
      <c r="L40" s="21" t="n">
        <f aca="false">MAX(0,L32+L37+L38+K42-Inputs!$B$23)</f>
        <v>27.9839536878605</v>
      </c>
      <c r="M40" s="21" t="n">
        <f aca="false">MAX(0,M32+M37+M38+L42-Inputs!$B$23)</f>
        <v>125.279225952564</v>
      </c>
      <c r="N40" s="21" t="n">
        <f aca="false">MAX(0,N32+N37+N38+M42-Inputs!$B$23)</f>
        <v>129.506848272121</v>
      </c>
      <c r="O40" s="21" t="n">
        <f aca="false">MAX(0,O32+O37+O38+N42-Inputs!$B$23)</f>
        <v>139.639077898405</v>
      </c>
      <c r="P40" s="21" t="n">
        <f aca="false">MAX(0,P32+P37+P38+O42-Inputs!$B$23)</f>
        <v>143.516772074896</v>
      </c>
      <c r="Q40" s="21" t="n">
        <f aca="false">MAX(0,Q32+Q37+Q38+P42-Inputs!$B$23)</f>
        <v>147.97699570198</v>
      </c>
      <c r="R40" s="21" t="n">
        <f aca="false">MAX(0,R32+R37+R38+Q42-Inputs!$B$23)</f>
        <v>159.294787405193</v>
      </c>
      <c r="S40" s="21" t="n">
        <f aca="false">MAX(0,S32+S37+S38+R42-Inputs!$B$23)</f>
        <v>161.396409329156</v>
      </c>
      <c r="T40" s="21" t="n">
        <f aca="false">MAX(0,T32+T37+T38+S42-Inputs!$B$23)</f>
        <v>163.547749077832</v>
      </c>
      <c r="U40" s="21" t="n">
        <f aca="false">MAX(0,U32+U37+U38+T42-Inputs!$B$23)</f>
        <v>172.972970343893</v>
      </c>
      <c r="V40" s="21" t="n">
        <f aca="false">MAX(0,V32+V37+V38+U42-Inputs!$B$23)</f>
        <v>175.227315567727</v>
      </c>
      <c r="W40" s="21" t="n">
        <f aca="false">MAX(0,W32+W37+W38+V42-Inputs!$B$23)</f>
        <v>177.535005385802</v>
      </c>
      <c r="X40" s="21" t="n">
        <f aca="false">MAX(0,X32+X37+X38+W42-Inputs!$B$23)</f>
        <v>187.842588244938</v>
      </c>
      <c r="Y40" s="21" t="n">
        <f aca="false">MAX(0,Y32+Y37+Y38+X42-Inputs!$B$23)</f>
        <v>190.260798468486</v>
      </c>
      <c r="Z40" s="21" t="n">
        <f aca="false">MAX(0,Z32+Z37+Z38+Y42-Inputs!$B$23)</f>
        <v>192.736245631869</v>
      </c>
      <c r="AA40" s="21" t="n">
        <f aca="false">MAX(0,AA32+AA37+AA38+Z42-Inputs!$B$23)</f>
        <v>204.010099120187</v>
      </c>
      <c r="AB40" s="21" t="n">
        <f aca="false">MAX(0,AB32+AB37+AB38+AA42-Inputs!$B$23)</f>
        <v>206.604131982503</v>
      </c>
      <c r="AC40" s="21" t="n">
        <f aca="false">MAX(0,AC32+AC37+AC38+AB42-Inputs!$B$23)</f>
        <v>209.259579225978</v>
      </c>
      <c r="AD40" s="21" t="n">
        <f aca="false">MAX(0,AD32+AD37+AD38+AC42-Inputs!$B$23)</f>
        <v>221.591690809829</v>
      </c>
      <c r="AE40" s="21" t="n">
        <f aca="false">MAX(0,AE32+AE37+AE38+AD42-Inputs!$B$23)</f>
        <v>224.374379865173</v>
      </c>
      <c r="AF40" s="21" t="n">
        <f aca="false">MAX(0,AF32+AF37+AF38+AE42-Inputs!$B$23)</f>
        <v>227.222966798235</v>
      </c>
      <c r="AG40" s="21" t="n">
        <f aca="false">MAX(0,AG32+AG37+AG38+AF42-Inputs!$B$23)</f>
        <v>240.714187562876</v>
      </c>
      <c r="AH40" s="21" t="n">
        <f aca="false">MAX(0,AH32+AH37+AH38+AG42-Inputs!$B$23)</f>
        <v>243.699306681098</v>
      </c>
      <c r="AI40" s="21" t="n">
        <f aca="false">MAX(0,AI32+AI37+AI38+AH42-Inputs!$B$23)</f>
        <v>246.755135734748</v>
      </c>
      <c r="AJ40" s="21" t="n">
        <f aca="false">MAX(0,AJ32+AJ37+AJ38+AI42-Inputs!$B$23)</f>
        <v>261.516042442946</v>
      </c>
      <c r="AK40" s="21" t="n">
        <f aca="false">MAX(0,AK32+AK37+AK38+AJ42-Inputs!$B$23)</f>
        <v>264.718374961768</v>
      </c>
      <c r="AL40" s="21" t="n">
        <f aca="false">MAX(0,AL32+AL37+AL38+AK42-Inputs!$B$23)</f>
        <v>267.996582201687</v>
      </c>
      <c r="AM40" s="21" t="n">
        <f aca="false">MAX(0,AM32+AM37+AM38+AL42-Inputs!$B$23)</f>
        <v>284.148423788776</v>
      </c>
      <c r="AN40" s="21" t="n">
        <f aca="false">MAX(0,AN32+AN37+AN38+AM42-Inputs!$B$23)</f>
        <v>287.583836769792</v>
      </c>
      <c r="AO40" s="21" t="n">
        <f aca="false">MAX(0,AO32+AO37+AO38+AN42-Inputs!$B$23)</f>
        <v>291.100667936238</v>
      </c>
      <c r="AP40" s="21" t="n">
        <f aca="false">MAX(0,AP32+AP37+AP38+AO42-Inputs!$B$23)</f>
        <v>308.776404755942</v>
      </c>
      <c r="AQ40" s="21" t="n">
        <f aca="false">MAX(0,AQ32+AQ37+AQ38+AP42-Inputs!$B$23)</f>
        <v>312.461928722312</v>
      </c>
      <c r="AR40" s="21" t="n">
        <f aca="false">MAX(0,AR32+AR37+AR38+AQ42-Inputs!$B$23)</f>
        <v>316.234820883819</v>
      </c>
      <c r="AS40" s="21" t="n">
        <f aca="false">MAX(0,AS32+AS37+AS38+AR42-Inputs!$B$23)</f>
        <v>335.580265841128</v>
      </c>
      <c r="AT40" s="21" t="n">
        <f aca="false">MAX(0,AT32+AT37+AT38+AS42-Inputs!$B$23)</f>
        <v>339.534180402993</v>
      </c>
      <c r="AU40" s="21" t="n">
        <f aca="false">MAX(0,AU32+AU37+AU38+AT42-Inputs!$B$23)</f>
        <v>343.581849639755</v>
      </c>
      <c r="AV40" s="21" t="n">
        <f aca="false">MAX(0,AV32+AV37+AV38+AU42-Inputs!$B$23)</f>
        <v>364.756921250535</v>
      </c>
      <c r="AW40" s="21" t="n">
        <f aca="false">MAX(0,AW32+AW37+AW38+AV42-Inputs!$B$23)</f>
        <v>368.998847054389</v>
      </c>
      <c r="AX40" s="21" t="n">
        <f aca="false">MAX(0,AX32+AX37+AX38+AW42-Inputs!$B$23)</f>
        <v>373.341382618081</v>
      </c>
      <c r="AY40" s="21" t="n">
        <f aca="false">MAX(0,AY32+AY37+AY38+AX42-Inputs!$B$23)</f>
        <v>396.521481028193</v>
      </c>
      <c r="AZ40" s="21" t="n">
        <f aca="false">MAX(0,AZ32+AZ37+AZ38+AY42-Inputs!$B$23)</f>
        <v>401.072478498835</v>
      </c>
    </row>
    <row r="41" customFormat="false" ht="15" hidden="false" customHeight="true" outlineLevel="0" collapsed="false">
      <c r="A41" s="13" t="s">
        <v>452</v>
      </c>
      <c r="B41" s="2"/>
      <c r="C41" s="2"/>
      <c r="D41" s="41" t="n">
        <v>0</v>
      </c>
      <c r="E41" s="41" t="n">
        <f aca="false">D42</f>
        <v>10</v>
      </c>
      <c r="F41" s="41" t="n">
        <f aca="false">E42</f>
        <v>10</v>
      </c>
      <c r="G41" s="41" t="n">
        <f aca="false">F42</f>
        <v>10</v>
      </c>
      <c r="H41" s="41" t="n">
        <f aca="false">G42</f>
        <v>10</v>
      </c>
      <c r="I41" s="41" t="n">
        <f aca="false">H42</f>
        <v>10</v>
      </c>
      <c r="J41" s="41" t="n">
        <f aca="false">I42</f>
        <v>10</v>
      </c>
      <c r="K41" s="41" t="n">
        <f aca="false">J42</f>
        <v>10</v>
      </c>
      <c r="L41" s="41" t="n">
        <f aca="false">K42</f>
        <v>10</v>
      </c>
      <c r="M41" s="41" t="n">
        <f aca="false">L42</f>
        <v>10</v>
      </c>
      <c r="N41" s="41" t="n">
        <f aca="false">M42</f>
        <v>10</v>
      </c>
      <c r="O41" s="41" t="n">
        <f aca="false">N42</f>
        <v>10</v>
      </c>
      <c r="P41" s="41" t="n">
        <f aca="false">O42</f>
        <v>10</v>
      </c>
      <c r="Q41" s="41" t="n">
        <f aca="false">P42</f>
        <v>10</v>
      </c>
      <c r="R41" s="41" t="n">
        <f aca="false">Q42</f>
        <v>10</v>
      </c>
      <c r="S41" s="41" t="n">
        <f aca="false">R42</f>
        <v>10</v>
      </c>
      <c r="T41" s="41" t="n">
        <f aca="false">S42</f>
        <v>10</v>
      </c>
      <c r="U41" s="41" t="n">
        <f aca="false">T42</f>
        <v>10</v>
      </c>
      <c r="V41" s="41" t="n">
        <f aca="false">U42</f>
        <v>10</v>
      </c>
      <c r="W41" s="41" t="n">
        <f aca="false">V42</f>
        <v>10</v>
      </c>
      <c r="X41" s="41" t="n">
        <f aca="false">W42</f>
        <v>10</v>
      </c>
      <c r="Y41" s="41" t="n">
        <f aca="false">X42</f>
        <v>10</v>
      </c>
      <c r="Z41" s="41" t="n">
        <f aca="false">Y42</f>
        <v>10</v>
      </c>
      <c r="AA41" s="41" t="n">
        <f aca="false">Z42</f>
        <v>10</v>
      </c>
      <c r="AB41" s="41" t="n">
        <f aca="false">AA42</f>
        <v>10</v>
      </c>
      <c r="AC41" s="41" t="n">
        <f aca="false">AB42</f>
        <v>10</v>
      </c>
      <c r="AD41" s="41" t="n">
        <f aca="false">AC42</f>
        <v>10</v>
      </c>
      <c r="AE41" s="41" t="n">
        <f aca="false">AD42</f>
        <v>10</v>
      </c>
      <c r="AF41" s="41" t="n">
        <f aca="false">AE42</f>
        <v>10</v>
      </c>
      <c r="AG41" s="41" t="n">
        <f aca="false">AF42</f>
        <v>10</v>
      </c>
      <c r="AH41" s="41" t="n">
        <f aca="false">AG42</f>
        <v>10</v>
      </c>
      <c r="AI41" s="41" t="n">
        <f aca="false">AH42</f>
        <v>10</v>
      </c>
      <c r="AJ41" s="41" t="n">
        <f aca="false">AI42</f>
        <v>10</v>
      </c>
      <c r="AK41" s="41" t="n">
        <f aca="false">AJ42</f>
        <v>10</v>
      </c>
      <c r="AL41" s="41" t="n">
        <f aca="false">AK42</f>
        <v>10</v>
      </c>
      <c r="AM41" s="41" t="n">
        <f aca="false">AL42</f>
        <v>10</v>
      </c>
      <c r="AN41" s="41" t="n">
        <f aca="false">AM42</f>
        <v>10</v>
      </c>
      <c r="AO41" s="41" t="n">
        <f aca="false">AN42</f>
        <v>10</v>
      </c>
      <c r="AP41" s="41" t="n">
        <f aca="false">AO42</f>
        <v>10</v>
      </c>
      <c r="AQ41" s="41" t="n">
        <f aca="false">AP42</f>
        <v>10</v>
      </c>
      <c r="AR41" s="41" t="n">
        <f aca="false">AQ42</f>
        <v>10</v>
      </c>
      <c r="AS41" s="41" t="n">
        <f aca="false">AR42</f>
        <v>10</v>
      </c>
      <c r="AT41" s="41" t="n">
        <f aca="false">AS42</f>
        <v>10</v>
      </c>
      <c r="AU41" s="41" t="n">
        <f aca="false">AT42</f>
        <v>10</v>
      </c>
      <c r="AV41" s="41" t="n">
        <f aca="false">AU42</f>
        <v>10</v>
      </c>
      <c r="AW41" s="41" t="n">
        <f aca="false">AV42</f>
        <v>10</v>
      </c>
      <c r="AX41" s="41" t="n">
        <f aca="false">AW42</f>
        <v>10</v>
      </c>
      <c r="AY41" s="41" t="n">
        <f aca="false">AX42</f>
        <v>10</v>
      </c>
      <c r="AZ41" s="41" t="n">
        <f aca="false">AY42</f>
        <v>10</v>
      </c>
    </row>
    <row r="42" customFormat="false" ht="15" hidden="false" customHeight="true" outlineLevel="0" collapsed="false">
      <c r="A42" s="13" t="s">
        <v>453</v>
      </c>
      <c r="B42" s="2"/>
      <c r="C42" s="2"/>
      <c r="D42" s="41" t="n">
        <f aca="false">D41+D32+D37+D38-D40</f>
        <v>10</v>
      </c>
      <c r="E42" s="41" t="n">
        <f aca="false">E41+E32+E37+E38-E40</f>
        <v>10</v>
      </c>
      <c r="F42" s="41" t="n">
        <f aca="false">F41+F32+F37+F38-F40</f>
        <v>10</v>
      </c>
      <c r="G42" s="41" t="n">
        <f aca="false">G41+G32+G37+G38-G40</f>
        <v>10</v>
      </c>
      <c r="H42" s="41" t="n">
        <f aca="false">H41+H32+H37+H38-H40</f>
        <v>10</v>
      </c>
      <c r="I42" s="41" t="n">
        <f aca="false">I41+I32+I37+I38-I40</f>
        <v>10</v>
      </c>
      <c r="J42" s="41" t="n">
        <f aca="false">J41+J32+J37+J38-J40</f>
        <v>10</v>
      </c>
      <c r="K42" s="41" t="n">
        <f aca="false">K41+K32+K37+K38-K40</f>
        <v>10</v>
      </c>
      <c r="L42" s="41" t="n">
        <f aca="false">L41+L32+L37+L38-L40</f>
        <v>10</v>
      </c>
      <c r="M42" s="41" t="n">
        <f aca="false">M41+M32+M37+M38-M40</f>
        <v>10</v>
      </c>
      <c r="N42" s="41" t="n">
        <f aca="false">N41+N32+N37+N38-N40</f>
        <v>10</v>
      </c>
      <c r="O42" s="41" t="n">
        <f aca="false">O41+O32+O37+O38-O40</f>
        <v>10</v>
      </c>
      <c r="P42" s="41" t="n">
        <f aca="false">P41+P32+P37+P38-P40</f>
        <v>10</v>
      </c>
      <c r="Q42" s="41" t="n">
        <f aca="false">Q41+Q32+Q37+Q38-Q40</f>
        <v>10</v>
      </c>
      <c r="R42" s="41" t="n">
        <f aca="false">R41+R32+R37+R38-R40</f>
        <v>10</v>
      </c>
      <c r="S42" s="41" t="n">
        <f aca="false">S41+S32+S37+S38-S40</f>
        <v>10</v>
      </c>
      <c r="T42" s="41" t="n">
        <f aca="false">T41+T32+T37+T38-T40</f>
        <v>10</v>
      </c>
      <c r="U42" s="41" t="n">
        <f aca="false">U41+U32+U37+U38-U40</f>
        <v>10</v>
      </c>
      <c r="V42" s="41" t="n">
        <f aca="false">V41+V32+V37+V38-V40</f>
        <v>10</v>
      </c>
      <c r="W42" s="41" t="n">
        <f aca="false">W41+W32+W37+W38-W40</f>
        <v>10</v>
      </c>
      <c r="X42" s="41" t="n">
        <f aca="false">X41+X32+X37+X38-X40</f>
        <v>10</v>
      </c>
      <c r="Y42" s="41" t="n">
        <f aca="false">Y41+Y32+Y37+Y38-Y40</f>
        <v>10</v>
      </c>
      <c r="Z42" s="41" t="n">
        <f aca="false">Z41+Z32+Z37+Z38-Z40</f>
        <v>10</v>
      </c>
      <c r="AA42" s="41" t="n">
        <f aca="false">AA41+AA32+AA37+AA38-AA40</f>
        <v>10</v>
      </c>
      <c r="AB42" s="41" t="n">
        <f aca="false">AB41+AB32+AB37+AB38-AB40</f>
        <v>10</v>
      </c>
      <c r="AC42" s="41" t="n">
        <f aca="false">AC41+AC32+AC37+AC38-AC40</f>
        <v>10</v>
      </c>
      <c r="AD42" s="41" t="n">
        <f aca="false">AD41+AD32+AD37+AD38-AD40</f>
        <v>10</v>
      </c>
      <c r="AE42" s="41" t="n">
        <f aca="false">AE41+AE32+AE37+AE38-AE40</f>
        <v>10</v>
      </c>
      <c r="AF42" s="41" t="n">
        <f aca="false">AF41+AF32+AF37+AF38-AF40</f>
        <v>10</v>
      </c>
      <c r="AG42" s="41" t="n">
        <f aca="false">AG41+AG32+AG37+AG38-AG40</f>
        <v>10</v>
      </c>
      <c r="AH42" s="41" t="n">
        <f aca="false">AH41+AH32+AH37+AH38-AH40</f>
        <v>10</v>
      </c>
      <c r="AI42" s="41" t="n">
        <f aca="false">AI41+AI32+AI37+AI38-AI40</f>
        <v>10</v>
      </c>
      <c r="AJ42" s="41" t="n">
        <f aca="false">AJ41+AJ32+AJ37+AJ38-AJ40</f>
        <v>10</v>
      </c>
      <c r="AK42" s="41" t="n">
        <f aca="false">AK41+AK32+AK37+AK38-AK40</f>
        <v>10</v>
      </c>
      <c r="AL42" s="41" t="n">
        <f aca="false">AL41+AL32+AL37+AL38-AL40</f>
        <v>10</v>
      </c>
      <c r="AM42" s="41" t="n">
        <f aca="false">AM41+AM32+AM37+AM38-AM40</f>
        <v>10</v>
      </c>
      <c r="AN42" s="41" t="n">
        <f aca="false">AN41+AN32+AN37+AN38-AN40</f>
        <v>10</v>
      </c>
      <c r="AO42" s="41" t="n">
        <f aca="false">AO41+AO32+AO37+AO38-AO40</f>
        <v>10</v>
      </c>
      <c r="AP42" s="41" t="n">
        <f aca="false">AP41+AP32+AP37+AP38-AP40</f>
        <v>10</v>
      </c>
      <c r="AQ42" s="41" t="n">
        <f aca="false">AQ41+AQ32+AQ37+AQ38-AQ40</f>
        <v>10</v>
      </c>
      <c r="AR42" s="41" t="n">
        <f aca="false">AR41+AR32+AR37+AR38-AR40</f>
        <v>10</v>
      </c>
      <c r="AS42" s="41" t="n">
        <f aca="false">AS41+AS32+AS37+AS38-AS40</f>
        <v>10</v>
      </c>
      <c r="AT42" s="41" t="n">
        <f aca="false">AT41+AT32+AT37+AT38-AT40</f>
        <v>10</v>
      </c>
      <c r="AU42" s="41" t="n">
        <f aca="false">AU41+AU32+AU37+AU38-AU40</f>
        <v>10</v>
      </c>
      <c r="AV42" s="41" t="n">
        <f aca="false">AV41+AV32+AV37+AV38-AV40</f>
        <v>10</v>
      </c>
      <c r="AW42" s="41" t="n">
        <f aca="false">AW41+AW32+AW37+AW38-AW40</f>
        <v>10</v>
      </c>
      <c r="AX42" s="41" t="n">
        <f aca="false">AX41+AX32+AX37+AX38-AX40</f>
        <v>10</v>
      </c>
      <c r="AY42" s="41" t="n">
        <f aca="false">AY41+AY32+AY37+AY38-AY40</f>
        <v>10</v>
      </c>
      <c r="AZ42" s="41" t="n">
        <f aca="false">AZ41+AZ32+AZ37+AZ38-AZ40</f>
        <v>10</v>
      </c>
    </row>
    <row r="43" customFormat="false" ht="15" hidden="false" customHeight="true" outlineLevel="0" collapsed="false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customFormat="false" ht="15" hidden="false" customHeight="true" outlineLevel="0" collapsed="false">
      <c r="A44" s="11" t="s">
        <v>454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</row>
    <row r="45" customFormat="false" ht="15" hidden="false" customHeight="true" outlineLevel="0" collapsed="false">
      <c r="A45" s="13" t="s">
        <v>455</v>
      </c>
      <c r="B45" s="2"/>
      <c r="C45" s="41" t="n">
        <f aca="false">SUM(D45:AZ45)</f>
        <v>6295.59853415715</v>
      </c>
      <c r="D45" s="41" t="n">
        <f aca="false">D40*Inputs!$B$11</f>
        <v>0</v>
      </c>
      <c r="E45" s="41" t="n">
        <f aca="false">E40*Inputs!$B$11</f>
        <v>0</v>
      </c>
      <c r="F45" s="41" t="n">
        <f aca="false">F40*Inputs!$B$11</f>
        <v>0</v>
      </c>
      <c r="G45" s="41" t="n">
        <f aca="false">G40*Inputs!$B$11</f>
        <v>0</v>
      </c>
      <c r="H45" s="41" t="n">
        <f aca="false">H40*Inputs!$B$11</f>
        <v>0</v>
      </c>
      <c r="I45" s="41" t="n">
        <f aca="false">I40*Inputs!$B$11</f>
        <v>0</v>
      </c>
      <c r="J45" s="41" t="n">
        <f aca="false">J40*Inputs!$B$11</f>
        <v>0</v>
      </c>
      <c r="K45" s="41" t="n">
        <f aca="false">K40*Inputs!$B$11</f>
        <v>0</v>
      </c>
      <c r="L45" s="41" t="n">
        <f aca="false">L40*Inputs!$B$11</f>
        <v>17.9097303602307</v>
      </c>
      <c r="M45" s="41" t="n">
        <f aca="false">M40*Inputs!$B$11</f>
        <v>80.1787046096411</v>
      </c>
      <c r="N45" s="41" t="n">
        <f aca="false">N40*Inputs!$B$11</f>
        <v>82.8843828941575</v>
      </c>
      <c r="O45" s="41" t="n">
        <f aca="false">O40*Inputs!$B$11</f>
        <v>89.3690098549794</v>
      </c>
      <c r="P45" s="41" t="n">
        <f aca="false">P40*Inputs!$B$11</f>
        <v>91.8507341279337</v>
      </c>
      <c r="Q45" s="41" t="n">
        <f aca="false">Q40*Inputs!$B$11</f>
        <v>94.7052772492673</v>
      </c>
      <c r="R45" s="41" t="n">
        <f aca="false">R40*Inputs!$B$11</f>
        <v>101.948663939324</v>
      </c>
      <c r="S45" s="41" t="n">
        <f aca="false">S40*Inputs!$B$11</f>
        <v>103.29370197066</v>
      </c>
      <c r="T45" s="41" t="n">
        <f aca="false">T40*Inputs!$B$11</f>
        <v>104.670559409812</v>
      </c>
      <c r="U45" s="41" t="n">
        <f aca="false">U40*Inputs!$B$11</f>
        <v>110.702701020092</v>
      </c>
      <c r="V45" s="41" t="n">
        <f aca="false">V40*Inputs!$B$11</f>
        <v>112.145481963345</v>
      </c>
      <c r="W45" s="41" t="n">
        <f aca="false">W40*Inputs!$B$11</f>
        <v>113.622403446913</v>
      </c>
      <c r="X45" s="41" t="n">
        <f aca="false">X40*Inputs!$B$11</f>
        <v>120.21925647676</v>
      </c>
      <c r="Y45" s="41" t="n">
        <f aca="false">Y40*Inputs!$B$11</f>
        <v>121.766911019831</v>
      </c>
      <c r="Z45" s="41" t="n">
        <f aca="false">Z40*Inputs!$B$11</f>
        <v>123.351197204396</v>
      </c>
      <c r="AA45" s="41" t="n">
        <f aca="false">AA40*Inputs!$B$11</f>
        <v>130.56646343692</v>
      </c>
      <c r="AB45" s="41" t="n">
        <f aca="false">AB40*Inputs!$B$11</f>
        <v>132.226644468802</v>
      </c>
      <c r="AC45" s="41" t="n">
        <f aca="false">AC40*Inputs!$B$11</f>
        <v>133.926130704626</v>
      </c>
      <c r="AD45" s="41" t="n">
        <f aca="false">AD40*Inputs!$B$11</f>
        <v>141.818682118291</v>
      </c>
      <c r="AE45" s="41" t="n">
        <f aca="false">AE40*Inputs!$B$11</f>
        <v>143.599603113711</v>
      </c>
      <c r="AF45" s="41" t="n">
        <f aca="false">AF40*Inputs!$B$11</f>
        <v>145.422698750871</v>
      </c>
      <c r="AG45" s="41" t="n">
        <f aca="false">AG40*Inputs!$B$11</f>
        <v>154.057080040241</v>
      </c>
      <c r="AH45" s="41" t="n">
        <f aca="false">AH40*Inputs!$B$11</f>
        <v>155.967556275903</v>
      </c>
      <c r="AI45" s="41" t="n">
        <f aca="false">AI40*Inputs!$B$11</f>
        <v>157.923286870239</v>
      </c>
      <c r="AJ45" s="41" t="n">
        <f aca="false">AJ40*Inputs!$B$11</f>
        <v>167.370267163486</v>
      </c>
      <c r="AK45" s="41" t="n">
        <f aca="false">AK40*Inputs!$B$11</f>
        <v>169.419759975531</v>
      </c>
      <c r="AL45" s="41" t="n">
        <f aca="false">AL40*Inputs!$B$11</f>
        <v>171.51781260908</v>
      </c>
      <c r="AM45" s="41" t="n">
        <f aca="false">AM40*Inputs!$B$11</f>
        <v>181.854991224817</v>
      </c>
      <c r="AN45" s="41" t="n">
        <f aca="false">AN40*Inputs!$B$11</f>
        <v>184.053655532667</v>
      </c>
      <c r="AO45" s="41" t="n">
        <f aca="false">AO40*Inputs!$B$11</f>
        <v>186.304427479192</v>
      </c>
      <c r="AP45" s="41" t="n">
        <f aca="false">AP40*Inputs!$B$11</f>
        <v>197.616899043803</v>
      </c>
      <c r="AQ45" s="41" t="n">
        <f aca="false">AQ40*Inputs!$B$11</f>
        <v>199.975634382279</v>
      </c>
      <c r="AR45" s="41" t="n">
        <f aca="false">AR40*Inputs!$B$11</f>
        <v>202.390285365644</v>
      </c>
      <c r="AS45" s="41" t="n">
        <f aca="false">AS40*Inputs!$B$11</f>
        <v>214.771370138322</v>
      </c>
      <c r="AT45" s="41" t="n">
        <f aca="false">AT40*Inputs!$B$11</f>
        <v>217.301875457915</v>
      </c>
      <c r="AU45" s="41" t="n">
        <f aca="false">AU40*Inputs!$B$11</f>
        <v>219.892383769443</v>
      </c>
      <c r="AV45" s="41" t="n">
        <f aca="false">AV40*Inputs!$B$11</f>
        <v>233.444429600343</v>
      </c>
      <c r="AW45" s="41" t="n">
        <f aca="false">AW40*Inputs!$B$11</f>
        <v>236.159262114809</v>
      </c>
      <c r="AX45" s="41" t="n">
        <f aca="false">AX40*Inputs!$B$11</f>
        <v>238.938484875572</v>
      </c>
      <c r="AY45" s="41" t="n">
        <f aca="false">AY40*Inputs!$B$11</f>
        <v>253.773747858044</v>
      </c>
      <c r="AZ45" s="41" t="n">
        <f aca="false">AZ40*Inputs!$B$11</f>
        <v>256.686386239255</v>
      </c>
    </row>
    <row r="46" customFormat="false" ht="15" hidden="false" customHeight="true" outlineLevel="0" collapsed="false">
      <c r="A46" s="13" t="s">
        <v>456</v>
      </c>
      <c r="B46" s="2"/>
      <c r="C46" s="41" t="n">
        <f aca="false">SUM(D46:AZ46)</f>
        <v>3541.27417546339</v>
      </c>
      <c r="D46" s="41" t="n">
        <f aca="false">D40*Inputs!$B$12</f>
        <v>0</v>
      </c>
      <c r="E46" s="41" t="n">
        <f aca="false">E40*Inputs!$B$12</f>
        <v>0</v>
      </c>
      <c r="F46" s="41" t="n">
        <f aca="false">F40*Inputs!$B$12</f>
        <v>0</v>
      </c>
      <c r="G46" s="41" t="n">
        <f aca="false">G40*Inputs!$B$12</f>
        <v>0</v>
      </c>
      <c r="H46" s="41" t="n">
        <f aca="false">H40*Inputs!$B$12</f>
        <v>0</v>
      </c>
      <c r="I46" s="41" t="n">
        <f aca="false">I40*Inputs!$B$12</f>
        <v>0</v>
      </c>
      <c r="J46" s="41" t="n">
        <f aca="false">J40*Inputs!$B$12</f>
        <v>0</v>
      </c>
      <c r="K46" s="41" t="n">
        <f aca="false">K40*Inputs!$B$12</f>
        <v>0</v>
      </c>
      <c r="L46" s="41" t="n">
        <f aca="false">L40*Inputs!$B$12</f>
        <v>10.0742233276298</v>
      </c>
      <c r="M46" s="41" t="n">
        <f aca="false">M40*Inputs!$B$12</f>
        <v>45.1005213429231</v>
      </c>
      <c r="N46" s="41" t="n">
        <f aca="false">N40*Inputs!$B$12</f>
        <v>46.6224653779636</v>
      </c>
      <c r="O46" s="41" t="n">
        <f aca="false">O40*Inputs!$B$12</f>
        <v>50.2700680434259</v>
      </c>
      <c r="P46" s="41" t="n">
        <f aca="false">P40*Inputs!$B$12</f>
        <v>51.6660379469627</v>
      </c>
      <c r="Q46" s="41" t="n">
        <f aca="false">Q40*Inputs!$B$12</f>
        <v>53.2717184527129</v>
      </c>
      <c r="R46" s="41" t="n">
        <f aca="false">R40*Inputs!$B$12</f>
        <v>57.3461234658696</v>
      </c>
      <c r="S46" s="41" t="n">
        <f aca="false">S40*Inputs!$B$12</f>
        <v>58.1027073584962</v>
      </c>
      <c r="T46" s="41" t="n">
        <f aca="false">T40*Inputs!$B$12</f>
        <v>58.8771896680194</v>
      </c>
      <c r="U46" s="41" t="n">
        <f aca="false">U40*Inputs!$B$12</f>
        <v>62.2702693238015</v>
      </c>
      <c r="V46" s="41" t="n">
        <f aca="false">V40*Inputs!$B$12</f>
        <v>63.0818336043816</v>
      </c>
      <c r="W46" s="41" t="n">
        <f aca="false">W40*Inputs!$B$12</f>
        <v>63.9126019388887</v>
      </c>
      <c r="X46" s="41" t="n">
        <f aca="false">X40*Inputs!$B$12</f>
        <v>67.6233317681778</v>
      </c>
      <c r="Y46" s="41" t="n">
        <f aca="false">Y40*Inputs!$B$12</f>
        <v>68.493887448655</v>
      </c>
      <c r="Z46" s="41" t="n">
        <f aca="false">Z40*Inputs!$B$12</f>
        <v>69.3850484274727</v>
      </c>
      <c r="AA46" s="41" t="n">
        <f aca="false">AA40*Inputs!$B$12</f>
        <v>73.4436356832674</v>
      </c>
      <c r="AB46" s="41" t="n">
        <f aca="false">AB40*Inputs!$B$12</f>
        <v>74.3774875137012</v>
      </c>
      <c r="AC46" s="41" t="n">
        <f aca="false">AC40*Inputs!$B$12</f>
        <v>75.3334485213521</v>
      </c>
      <c r="AD46" s="41" t="n">
        <f aca="false">AD40*Inputs!$B$12</f>
        <v>79.7730086915386</v>
      </c>
      <c r="AE46" s="41" t="n">
        <f aca="false">AE40*Inputs!$B$12</f>
        <v>80.7747767514624</v>
      </c>
      <c r="AF46" s="41" t="n">
        <f aca="false">AF40*Inputs!$B$12</f>
        <v>81.8002680473647</v>
      </c>
      <c r="AG46" s="41" t="n">
        <f aca="false">AG40*Inputs!$B$12</f>
        <v>86.6571075226354</v>
      </c>
      <c r="AH46" s="41" t="n">
        <f aca="false">AH40*Inputs!$B$12</f>
        <v>87.7317504051954</v>
      </c>
      <c r="AI46" s="41" t="n">
        <f aca="false">AI40*Inputs!$B$12</f>
        <v>88.8318488645092</v>
      </c>
      <c r="AJ46" s="41" t="n">
        <f aca="false">AJ40*Inputs!$B$12</f>
        <v>94.1457752794606</v>
      </c>
      <c r="AK46" s="41" t="n">
        <f aca="false">AK40*Inputs!$B$12</f>
        <v>95.2986149862363</v>
      </c>
      <c r="AL46" s="41" t="n">
        <f aca="false">AL40*Inputs!$B$12</f>
        <v>96.4787695926074</v>
      </c>
      <c r="AM46" s="41" t="n">
        <f aca="false">AM40*Inputs!$B$12</f>
        <v>102.293432563959</v>
      </c>
      <c r="AN46" s="41" t="n">
        <f aca="false">AN40*Inputs!$B$12</f>
        <v>103.530181237125</v>
      </c>
      <c r="AO46" s="41" t="n">
        <f aca="false">AO40*Inputs!$B$12</f>
        <v>104.796240457046</v>
      </c>
      <c r="AP46" s="41" t="n">
        <f aca="false">AP40*Inputs!$B$12</f>
        <v>111.159505712139</v>
      </c>
      <c r="AQ46" s="41" t="n">
        <f aca="false">AQ40*Inputs!$B$12</f>
        <v>112.486294340032</v>
      </c>
      <c r="AR46" s="41" t="n">
        <f aca="false">AR40*Inputs!$B$12</f>
        <v>113.844535518175</v>
      </c>
      <c r="AS46" s="41" t="n">
        <f aca="false">AS40*Inputs!$B$12</f>
        <v>120.808895702806</v>
      </c>
      <c r="AT46" s="41" t="n">
        <f aca="false">AT40*Inputs!$B$12</f>
        <v>122.232304945077</v>
      </c>
      <c r="AU46" s="41" t="n">
        <f aca="false">AU40*Inputs!$B$12</f>
        <v>123.689465870312</v>
      </c>
      <c r="AV46" s="41" t="n">
        <f aca="false">AV40*Inputs!$B$12</f>
        <v>131.312491650193</v>
      </c>
      <c r="AW46" s="41" t="n">
        <f aca="false">AW40*Inputs!$B$12</f>
        <v>132.83958493958</v>
      </c>
      <c r="AX46" s="41" t="n">
        <f aca="false">AX40*Inputs!$B$12</f>
        <v>134.402897742509</v>
      </c>
      <c r="AY46" s="41" t="n">
        <f aca="false">AY40*Inputs!$B$12</f>
        <v>142.74773317015</v>
      </c>
      <c r="AZ46" s="41" t="n">
        <f aca="false">AZ40*Inputs!$B$12</f>
        <v>144.386092259581</v>
      </c>
    </row>
    <row r="47" customFormat="false" ht="15" hidden="false" customHeight="true" outlineLevel="0" collapsed="false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customFormat="false" ht="15" hidden="false" customHeight="true" outlineLevel="0" collapsed="false">
      <c r="A48" s="11" t="s">
        <v>457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</row>
    <row r="49" customFormat="false" ht="15" hidden="false" customHeight="true" outlineLevel="0" collapsed="false">
      <c r="A49" s="6" t="s">
        <v>458</v>
      </c>
      <c r="B49" s="2"/>
      <c r="C49" s="21" t="n">
        <f aca="false">SUM(D49:AZ49)</f>
        <v>6794.88771492634</v>
      </c>
      <c r="D49" s="21" t="n">
        <f aca="false">-D38+D45</f>
        <v>0</v>
      </c>
      <c r="E49" s="21" t="n">
        <f aca="false">-E38+E45</f>
        <v>0</v>
      </c>
      <c r="F49" s="21" t="n">
        <f aca="false">-F38+F45</f>
        <v>0</v>
      </c>
      <c r="G49" s="21" t="n">
        <f aca="false">-G38+G45</f>
        <v>0</v>
      </c>
      <c r="H49" s="21" t="n">
        <f aca="false">-H38+H45</f>
        <v>88.0053662743687</v>
      </c>
      <c r="I49" s="21" t="n">
        <f aca="false">-I38+I45</f>
        <v>102.48339952946</v>
      </c>
      <c r="J49" s="21" t="n">
        <f aca="false">-J38+J45</f>
        <v>106.25937397437</v>
      </c>
      <c r="K49" s="21" t="n">
        <f aca="false">-K38+K45</f>
        <v>110.258903044751</v>
      </c>
      <c r="L49" s="21" t="n">
        <f aca="false">-L38+L45</f>
        <v>110.191868306476</v>
      </c>
      <c r="M49" s="21" t="n">
        <f aca="false">-M38+M45</f>
        <v>80.1787046096411</v>
      </c>
      <c r="N49" s="21" t="n">
        <f aca="false">-N38+N45</f>
        <v>82.8843828941575</v>
      </c>
      <c r="O49" s="21" t="n">
        <f aca="false">-O38+O45</f>
        <v>89.3690098549794</v>
      </c>
      <c r="P49" s="21" t="n">
        <f aca="false">-P38+P45</f>
        <v>91.8507341279337</v>
      </c>
      <c r="Q49" s="21" t="n">
        <f aca="false">-Q38+Q45</f>
        <v>94.7052772492673</v>
      </c>
      <c r="R49" s="21" t="n">
        <f aca="false">-R38+R45</f>
        <v>101.948663939324</v>
      </c>
      <c r="S49" s="21" t="n">
        <f aca="false">-S38+S45</f>
        <v>103.29370197066</v>
      </c>
      <c r="T49" s="21" t="n">
        <f aca="false">-T38+T45</f>
        <v>104.670559409812</v>
      </c>
      <c r="U49" s="21" t="n">
        <f aca="false">-U38+U45</f>
        <v>110.702701020092</v>
      </c>
      <c r="V49" s="21" t="n">
        <f aca="false">-V38+V45</f>
        <v>112.145481963345</v>
      </c>
      <c r="W49" s="21" t="n">
        <f aca="false">-W38+W45</f>
        <v>113.622403446913</v>
      </c>
      <c r="X49" s="21" t="n">
        <f aca="false">-X38+X45</f>
        <v>120.21925647676</v>
      </c>
      <c r="Y49" s="21" t="n">
        <f aca="false">-Y38+Y45</f>
        <v>121.766911019831</v>
      </c>
      <c r="Z49" s="21" t="n">
        <f aca="false">-Z38+Z45</f>
        <v>123.351197204396</v>
      </c>
      <c r="AA49" s="21" t="n">
        <f aca="false">-AA38+AA45</f>
        <v>130.56646343692</v>
      </c>
      <c r="AB49" s="21" t="n">
        <f aca="false">-AB38+AB45</f>
        <v>132.226644468802</v>
      </c>
      <c r="AC49" s="21" t="n">
        <f aca="false">-AC38+AC45</f>
        <v>133.926130704626</v>
      </c>
      <c r="AD49" s="21" t="n">
        <f aca="false">-AD38+AD45</f>
        <v>141.818682118291</v>
      </c>
      <c r="AE49" s="21" t="n">
        <f aca="false">-AE38+AE45</f>
        <v>143.599603113711</v>
      </c>
      <c r="AF49" s="21" t="n">
        <f aca="false">-AF38+AF45</f>
        <v>145.422698750871</v>
      </c>
      <c r="AG49" s="21" t="n">
        <f aca="false">-AG38+AG45</f>
        <v>154.057080040241</v>
      </c>
      <c r="AH49" s="21" t="n">
        <f aca="false">-AH38+AH45</f>
        <v>155.967556275903</v>
      </c>
      <c r="AI49" s="21" t="n">
        <f aca="false">-AI38+AI45</f>
        <v>157.923286870239</v>
      </c>
      <c r="AJ49" s="21" t="n">
        <f aca="false">-AJ38+AJ45</f>
        <v>167.370267163486</v>
      </c>
      <c r="AK49" s="21" t="n">
        <f aca="false">-AK38+AK45</f>
        <v>169.419759975531</v>
      </c>
      <c r="AL49" s="21" t="n">
        <f aca="false">-AL38+AL45</f>
        <v>171.51781260908</v>
      </c>
      <c r="AM49" s="21" t="n">
        <f aca="false">-AM38+AM45</f>
        <v>181.854991224817</v>
      </c>
      <c r="AN49" s="21" t="n">
        <f aca="false">-AN38+AN45</f>
        <v>184.053655532667</v>
      </c>
      <c r="AO49" s="21" t="n">
        <f aca="false">-AO38+AO45</f>
        <v>186.304427479192</v>
      </c>
      <c r="AP49" s="21" t="n">
        <f aca="false">-AP38+AP45</f>
        <v>197.616899043803</v>
      </c>
      <c r="AQ49" s="21" t="n">
        <f aca="false">-AQ38+AQ45</f>
        <v>199.975634382279</v>
      </c>
      <c r="AR49" s="21" t="n">
        <f aca="false">-AR38+AR45</f>
        <v>202.390285365644</v>
      </c>
      <c r="AS49" s="21" t="n">
        <f aca="false">-AS38+AS45</f>
        <v>214.771370138322</v>
      </c>
      <c r="AT49" s="21" t="n">
        <f aca="false">-AT38+AT45</f>
        <v>217.301875457915</v>
      </c>
      <c r="AU49" s="21" t="n">
        <f aca="false">-AU38+AU45</f>
        <v>219.892383769443</v>
      </c>
      <c r="AV49" s="21" t="n">
        <f aca="false">-AV38+AV45</f>
        <v>233.444429600343</v>
      </c>
      <c r="AW49" s="21" t="n">
        <f aca="false">-AW38+AW45</f>
        <v>236.159262114809</v>
      </c>
      <c r="AX49" s="21" t="n">
        <f aca="false">-AX38+AX45</f>
        <v>238.938484875572</v>
      </c>
      <c r="AY49" s="21" t="n">
        <f aca="false">-AY38+AY45</f>
        <v>253.773747858044</v>
      </c>
      <c r="AZ49" s="21" t="n">
        <f aca="false">-AZ38+AZ45</f>
        <v>256.686386239255</v>
      </c>
    </row>
    <row r="50" customFormat="false" ht="15" hidden="false" customHeight="true" outlineLevel="0" collapsed="false">
      <c r="A50" s="6" t="s">
        <v>459</v>
      </c>
      <c r="B50" s="2"/>
      <c r="C50" s="21" t="n">
        <f aca="false">SUM(D50:AZ50)</f>
        <v>6295.59853415715</v>
      </c>
      <c r="D50" s="21" t="n">
        <f aca="false">-D37+D49</f>
        <v>-38.7832629420656</v>
      </c>
      <c r="E50" s="21" t="n">
        <f aca="false">-E37+E49</f>
        <v>-202.861237916539</v>
      </c>
      <c r="F50" s="21" t="n">
        <f aca="false">-F37+F49</f>
        <v>-245.256090291446</v>
      </c>
      <c r="G50" s="21" t="n">
        <f aca="false">-G37+G49</f>
        <v>-12.3885896191435</v>
      </c>
      <c r="H50" s="21" t="n">
        <f aca="false">-H37+H49</f>
        <v>88.0053662743687</v>
      </c>
      <c r="I50" s="21" t="n">
        <f aca="false">-I37+I49</f>
        <v>102.48339952946</v>
      </c>
      <c r="J50" s="21" t="n">
        <f aca="false">-J37+J49</f>
        <v>106.25937397437</v>
      </c>
      <c r="K50" s="21" t="n">
        <f aca="false">-K37+K49</f>
        <v>110.258903044751</v>
      </c>
      <c r="L50" s="21" t="n">
        <f aca="false">-L37+L49</f>
        <v>110.191868306476</v>
      </c>
      <c r="M50" s="21" t="n">
        <f aca="false">-M37+M49</f>
        <v>80.1787046096411</v>
      </c>
      <c r="N50" s="21" t="n">
        <f aca="false">-N37+N49</f>
        <v>82.8843828941575</v>
      </c>
      <c r="O50" s="21" t="n">
        <f aca="false">-O37+O49</f>
        <v>89.3690098549794</v>
      </c>
      <c r="P50" s="21" t="n">
        <f aca="false">-P37+P49</f>
        <v>91.8507341279337</v>
      </c>
      <c r="Q50" s="21" t="n">
        <f aca="false">-Q37+Q49</f>
        <v>94.7052772492673</v>
      </c>
      <c r="R50" s="21" t="n">
        <f aca="false">-R37+R49</f>
        <v>101.948663939324</v>
      </c>
      <c r="S50" s="21" t="n">
        <f aca="false">-S37+S49</f>
        <v>103.29370197066</v>
      </c>
      <c r="T50" s="21" t="n">
        <f aca="false">-T37+T49</f>
        <v>104.670559409812</v>
      </c>
      <c r="U50" s="21" t="n">
        <f aca="false">-U37+U49</f>
        <v>110.702701020092</v>
      </c>
      <c r="V50" s="21" t="n">
        <f aca="false">-V37+V49</f>
        <v>112.145481963345</v>
      </c>
      <c r="W50" s="21" t="n">
        <f aca="false">-W37+W49</f>
        <v>113.622403446913</v>
      </c>
      <c r="X50" s="21" t="n">
        <f aca="false">-X37+X49</f>
        <v>120.21925647676</v>
      </c>
      <c r="Y50" s="21" t="n">
        <f aca="false">-Y37+Y49</f>
        <v>121.766911019831</v>
      </c>
      <c r="Z50" s="21" t="n">
        <f aca="false">-Z37+Z49</f>
        <v>123.351197204396</v>
      </c>
      <c r="AA50" s="21" t="n">
        <f aca="false">-AA37+AA49</f>
        <v>130.56646343692</v>
      </c>
      <c r="AB50" s="21" t="n">
        <f aca="false">-AB37+AB49</f>
        <v>132.226644468802</v>
      </c>
      <c r="AC50" s="21" t="n">
        <f aca="false">-AC37+AC49</f>
        <v>133.926130704626</v>
      </c>
      <c r="AD50" s="21" t="n">
        <f aca="false">-AD37+AD49</f>
        <v>141.818682118291</v>
      </c>
      <c r="AE50" s="21" t="n">
        <f aca="false">-AE37+AE49</f>
        <v>143.599603113711</v>
      </c>
      <c r="AF50" s="21" t="n">
        <f aca="false">-AF37+AF49</f>
        <v>145.422698750871</v>
      </c>
      <c r="AG50" s="21" t="n">
        <f aca="false">-AG37+AG49</f>
        <v>154.057080040241</v>
      </c>
      <c r="AH50" s="21" t="n">
        <f aca="false">-AH37+AH49</f>
        <v>155.967556275903</v>
      </c>
      <c r="AI50" s="21" t="n">
        <f aca="false">-AI37+AI49</f>
        <v>157.923286870239</v>
      </c>
      <c r="AJ50" s="21" t="n">
        <f aca="false">-AJ37+AJ49</f>
        <v>167.370267163486</v>
      </c>
      <c r="AK50" s="21" t="n">
        <f aca="false">-AK37+AK49</f>
        <v>169.419759975531</v>
      </c>
      <c r="AL50" s="21" t="n">
        <f aca="false">-AL37+AL49</f>
        <v>171.51781260908</v>
      </c>
      <c r="AM50" s="21" t="n">
        <f aca="false">-AM37+AM49</f>
        <v>181.854991224817</v>
      </c>
      <c r="AN50" s="21" t="n">
        <f aca="false">-AN37+AN49</f>
        <v>184.053655532667</v>
      </c>
      <c r="AO50" s="21" t="n">
        <f aca="false">-AO37+AO49</f>
        <v>186.304427479192</v>
      </c>
      <c r="AP50" s="21" t="n">
        <f aca="false">-AP37+AP49</f>
        <v>197.616899043803</v>
      </c>
      <c r="AQ50" s="21" t="n">
        <f aca="false">-AQ37+AQ49</f>
        <v>199.975634382279</v>
      </c>
      <c r="AR50" s="21" t="n">
        <f aca="false">-AR37+AR49</f>
        <v>202.390285365644</v>
      </c>
      <c r="AS50" s="21" t="n">
        <f aca="false">-AS37+AS49</f>
        <v>214.771370138322</v>
      </c>
      <c r="AT50" s="21" t="n">
        <f aca="false">-AT37+AT49</f>
        <v>217.301875457915</v>
      </c>
      <c r="AU50" s="21" t="n">
        <f aca="false">-AU37+AU49</f>
        <v>219.892383769443</v>
      </c>
      <c r="AV50" s="21" t="n">
        <f aca="false">-AV37+AV49</f>
        <v>233.444429600343</v>
      </c>
      <c r="AW50" s="21" t="n">
        <f aca="false">-AW37+AW49</f>
        <v>236.159262114809</v>
      </c>
      <c r="AX50" s="21" t="n">
        <f aca="false">-AX37+AX49</f>
        <v>238.938484875572</v>
      </c>
      <c r="AY50" s="21" t="n">
        <f aca="false">-AY37+AY49</f>
        <v>253.773747858044</v>
      </c>
      <c r="AZ50" s="21" t="n">
        <f aca="false">-AZ37+AZ49</f>
        <v>256.686386239255</v>
      </c>
    </row>
    <row r="51" customFormat="false" ht="15" hidden="false" customHeight="true" outlineLevel="0" collapsed="false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customFormat="false" ht="15" hidden="false" customHeight="true" outlineLevel="0" collapsed="false">
      <c r="A52" s="11" t="s">
        <v>460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</row>
    <row r="53" customFormat="false" ht="15" hidden="false" customHeight="true" outlineLevel="0" collapsed="false">
      <c r="A53" s="13" t="s">
        <v>461</v>
      </c>
      <c r="B53" s="2"/>
      <c r="C53" s="2"/>
      <c r="D53" s="41" t="n">
        <f aca="false">IF(2026=Inputs!$B$176,E23/Inputs!$B$177*(1-(1+Inputs!$B$177)^-(Inputs!$B$55-2026)),0)</f>
        <v>0</v>
      </c>
      <c r="E53" s="41" t="n">
        <f aca="false">IF(2027=Inputs!$B$176,F23/Inputs!$B$177*(1-(1+Inputs!$B$177)^-(Inputs!$B$55-2027)),0)</f>
        <v>0</v>
      </c>
      <c r="F53" s="41" t="n">
        <f aca="false">IF(2028=Inputs!$B$176,G23/Inputs!$B$177*(1-(1+Inputs!$B$177)^-(Inputs!$B$55-2028)),0)</f>
        <v>0</v>
      </c>
      <c r="G53" s="41" t="n">
        <f aca="false">IF(2029=Inputs!$B$176,H23/Inputs!$B$177*(1-(1+Inputs!$B$177)^-(Inputs!$B$55-2029)),0)</f>
        <v>0</v>
      </c>
      <c r="H53" s="41" t="n">
        <f aca="false">IF(2030=Inputs!$B$176,I23/Inputs!$B$177*(1-(1+Inputs!$B$177)^-(Inputs!$B$55-2030)),0)</f>
        <v>0</v>
      </c>
      <c r="I53" s="41" t="n">
        <f aca="false">IF(2031=Inputs!$B$176,J23/Inputs!$B$177*(1-(1+Inputs!$B$177)^-(Inputs!$B$55-2031)),0)</f>
        <v>0</v>
      </c>
      <c r="J53" s="41" t="n">
        <f aca="false">IF(2032=Inputs!$B$176,K23/Inputs!$B$177*(1-(1+Inputs!$B$177)^-(Inputs!$B$55-2032)),0)</f>
        <v>0</v>
      </c>
      <c r="K53" s="41" t="n">
        <f aca="false">IF(2033=Inputs!$B$176,L23/Inputs!$B$177*(1-(1+Inputs!$B$177)^-(Inputs!$B$55-2033)),0)</f>
        <v>0</v>
      </c>
      <c r="L53" s="41" t="n">
        <f aca="false">IF(2034=Inputs!$B$176,M23/Inputs!$B$177*(1-(1+Inputs!$B$177)^-(Inputs!$B$55-2034)),0)</f>
        <v>0</v>
      </c>
      <c r="M53" s="41" t="n">
        <f aca="false">IF(2035=Inputs!$B$176,N23/Inputs!$B$177*(1-(1+Inputs!$B$177)^-(Inputs!$B$55-2035)),0)</f>
        <v>0</v>
      </c>
      <c r="N53" s="41" t="n">
        <f aca="false">IF(2036=Inputs!$B$176,O23/Inputs!$B$177*(1-(1+Inputs!$B$177)^-(Inputs!$B$55-2036)),0)</f>
        <v>0</v>
      </c>
      <c r="O53" s="41" t="n">
        <f aca="false">IF(2037=Inputs!$B$176,P23/Inputs!$B$177*(1-(1+Inputs!$B$177)^-(Inputs!$B$55-2037)),0)</f>
        <v>0</v>
      </c>
      <c r="P53" s="41" t="n">
        <f aca="false">IF(2038=Inputs!$B$176,Q23/Inputs!$B$177*(1-(1+Inputs!$B$177)^-(Inputs!$B$55-2038)),0)</f>
        <v>0</v>
      </c>
      <c r="Q53" s="41" t="n">
        <f aca="false">IF(2039=Inputs!$B$176,R23/Inputs!$B$177*(1-(1+Inputs!$B$177)^-(Inputs!$B$55-2039)),0)</f>
        <v>0</v>
      </c>
      <c r="R53" s="41" t="n">
        <f aca="false">IF(2040=Inputs!$B$176,S23/Inputs!$B$177*(1-(1+Inputs!$B$177)^-(Inputs!$B$55-2040)),0)</f>
        <v>1588.37616041888</v>
      </c>
      <c r="S53" s="41" t="n">
        <f aca="false">IF(2041=Inputs!$B$176,T23/Inputs!$B$177*(1-(1+Inputs!$B$177)^-(Inputs!$B$55-2041)),0)</f>
        <v>0</v>
      </c>
      <c r="T53" s="41" t="n">
        <f aca="false">IF(2042=Inputs!$B$176,U23/Inputs!$B$177*(1-(1+Inputs!$B$177)^-(Inputs!$B$55-2042)),0)</f>
        <v>0</v>
      </c>
      <c r="U53" s="41" t="n">
        <f aca="false">IF(2043=Inputs!$B$176,V23/Inputs!$B$177*(1-(1+Inputs!$B$177)^-(Inputs!$B$55-2043)),0)</f>
        <v>0</v>
      </c>
      <c r="V53" s="41" t="n">
        <f aca="false">IF(2044=Inputs!$B$176,W23/Inputs!$B$177*(1-(1+Inputs!$B$177)^-(Inputs!$B$55-2044)),0)</f>
        <v>0</v>
      </c>
      <c r="W53" s="41" t="n">
        <f aca="false">IF(2045=Inputs!$B$176,X23/Inputs!$B$177*(1-(1+Inputs!$B$177)^-(Inputs!$B$55-2045)),0)</f>
        <v>0</v>
      </c>
      <c r="X53" s="41" t="n">
        <f aca="false">IF(2046=Inputs!$B$176,Y23/Inputs!$B$177*(1-(1+Inputs!$B$177)^-(Inputs!$B$55-2046)),0)</f>
        <v>0</v>
      </c>
      <c r="Y53" s="41" t="n">
        <f aca="false">IF(2047=Inputs!$B$176,Z23/Inputs!$B$177*(1-(1+Inputs!$B$177)^-(Inputs!$B$55-2047)),0)</f>
        <v>0</v>
      </c>
      <c r="Z53" s="41" t="n">
        <f aca="false">IF(2048=Inputs!$B$176,AA23/Inputs!$B$177*(1-(1+Inputs!$B$177)^-(Inputs!$B$55-2048)),0)</f>
        <v>0</v>
      </c>
      <c r="AA53" s="41" t="n">
        <f aca="false">IF(2049=Inputs!$B$176,AB23/Inputs!$B$177*(1-(1+Inputs!$B$177)^-(Inputs!$B$55-2049)),0)</f>
        <v>0</v>
      </c>
      <c r="AB53" s="41" t="n">
        <f aca="false">IF(2050=Inputs!$B$176,AC23/Inputs!$B$177*(1-(1+Inputs!$B$177)^-(Inputs!$B$55-2050)),0)</f>
        <v>0</v>
      </c>
      <c r="AC53" s="41" t="n">
        <f aca="false">IF(2051=Inputs!$B$176,AD23/Inputs!$B$177*(1-(1+Inputs!$B$177)^-(Inputs!$B$55-2051)),0)</f>
        <v>0</v>
      </c>
      <c r="AD53" s="41" t="n">
        <f aca="false">IF(2052=Inputs!$B$176,AE23/Inputs!$B$177*(1-(1+Inputs!$B$177)^-(Inputs!$B$55-2052)),0)</f>
        <v>0</v>
      </c>
      <c r="AE53" s="41" t="n">
        <f aca="false">IF(2053=Inputs!$B$176,AF23/Inputs!$B$177*(1-(1+Inputs!$B$177)^-(Inputs!$B$55-2053)),0)</f>
        <v>0</v>
      </c>
      <c r="AF53" s="41" t="n">
        <f aca="false">IF(2054=Inputs!$B$176,AG23/Inputs!$B$177*(1-(1+Inputs!$B$177)^-(Inputs!$B$55-2054)),0)</f>
        <v>0</v>
      </c>
      <c r="AG53" s="41" t="n">
        <f aca="false">IF(2055=Inputs!$B$176,AH23/Inputs!$B$177*(1-(1+Inputs!$B$177)^-(Inputs!$B$55-2055)),0)</f>
        <v>0</v>
      </c>
      <c r="AH53" s="41" t="n">
        <f aca="false">IF(2056=Inputs!$B$176,AI23/Inputs!$B$177*(1-(1+Inputs!$B$177)^-(Inputs!$B$55-2056)),0)</f>
        <v>0</v>
      </c>
      <c r="AI53" s="41" t="n">
        <f aca="false">IF(2057=Inputs!$B$176,AJ23/Inputs!$B$177*(1-(1+Inputs!$B$177)^-(Inputs!$B$55-2057)),0)</f>
        <v>0</v>
      </c>
      <c r="AJ53" s="41" t="n">
        <f aca="false">IF(2058=Inputs!$B$176,AK23/Inputs!$B$177*(1-(1+Inputs!$B$177)^-(Inputs!$B$55-2058)),0)</f>
        <v>0</v>
      </c>
      <c r="AK53" s="41" t="n">
        <f aca="false">IF(2059=Inputs!$B$176,AL23/Inputs!$B$177*(1-(1+Inputs!$B$177)^-(Inputs!$B$55-2059)),0)</f>
        <v>0</v>
      </c>
      <c r="AL53" s="41" t="n">
        <f aca="false">IF(2060=Inputs!$B$176,AM23/Inputs!$B$177*(1-(1+Inputs!$B$177)^-(Inputs!$B$55-2060)),0)</f>
        <v>0</v>
      </c>
      <c r="AM53" s="41" t="n">
        <f aca="false">IF(2061=Inputs!$B$176,AN23/Inputs!$B$177*(1-(1+Inputs!$B$177)^-(Inputs!$B$55-2061)),0)</f>
        <v>0</v>
      </c>
      <c r="AN53" s="41" t="n">
        <f aca="false">IF(2062=Inputs!$B$176,AO23/Inputs!$B$177*(1-(1+Inputs!$B$177)^-(Inputs!$B$55-2062)),0)</f>
        <v>0</v>
      </c>
      <c r="AO53" s="41" t="n">
        <f aca="false">IF(2063=Inputs!$B$176,AP23/Inputs!$B$177*(1-(1+Inputs!$B$177)^-(Inputs!$B$55-2063)),0)</f>
        <v>0</v>
      </c>
      <c r="AP53" s="41" t="n">
        <f aca="false">IF(2064=Inputs!$B$176,AQ23/Inputs!$B$177*(1-(1+Inputs!$B$177)^-(Inputs!$B$55-2064)),0)</f>
        <v>0</v>
      </c>
      <c r="AQ53" s="41" t="n">
        <f aca="false">IF(2065=Inputs!$B$176,AR23/Inputs!$B$177*(1-(1+Inputs!$B$177)^-(Inputs!$B$55-2065)),0)</f>
        <v>0</v>
      </c>
      <c r="AR53" s="41" t="n">
        <f aca="false">IF(2066=Inputs!$B$176,AS23/Inputs!$B$177*(1-(1+Inputs!$B$177)^-(Inputs!$B$55-2066)),0)</f>
        <v>0</v>
      </c>
      <c r="AS53" s="41" t="n">
        <f aca="false">IF(2067=Inputs!$B$176,AT23/Inputs!$B$177*(1-(1+Inputs!$B$177)^-(Inputs!$B$55-2067)),0)</f>
        <v>0</v>
      </c>
      <c r="AT53" s="41" t="n">
        <f aca="false">IF(2068=Inputs!$B$176,AU23/Inputs!$B$177*(1-(1+Inputs!$B$177)^-(Inputs!$B$55-2068)),0)</f>
        <v>0</v>
      </c>
      <c r="AU53" s="41" t="n">
        <f aca="false">IF(2069=Inputs!$B$176,AV23/Inputs!$B$177*(1-(1+Inputs!$B$177)^-(Inputs!$B$55-2069)),0)</f>
        <v>0</v>
      </c>
      <c r="AV53" s="41" t="n">
        <f aca="false">IF(2070=Inputs!$B$176,AW23/Inputs!$B$177*(1-(1+Inputs!$B$177)^-(Inputs!$B$55-2070)),0)</f>
        <v>0</v>
      </c>
      <c r="AW53" s="41" t="n">
        <f aca="false">IF(2071=Inputs!$B$176,AX23/Inputs!$B$177*(1-(1+Inputs!$B$177)^-(Inputs!$B$55-2071)),0)</f>
        <v>0</v>
      </c>
      <c r="AX53" s="41" t="n">
        <f aca="false">IF(2072=Inputs!$B$176,AY23/Inputs!$B$177*(1-(1+Inputs!$B$177)^-(Inputs!$B$55-2072)),0)</f>
        <v>0</v>
      </c>
      <c r="AY53" s="41" t="n">
        <f aca="false">IF(2073=Inputs!$B$176,AZ23/Inputs!$B$177*(1-(1+Inputs!$B$177)^-(Inputs!$B$55-2073)),0)</f>
        <v>0</v>
      </c>
      <c r="AZ53" s="41" t="n">
        <f aca="false">IF(2074=Inputs!$B$176,AZ23/Inputs!$B$177*(1-(1+Inputs!$B$177)^-(Inputs!$B$55-2074)),0)</f>
        <v>0</v>
      </c>
    </row>
    <row r="54" customFormat="false" ht="15" hidden="false" customHeight="true" outlineLevel="0" collapsed="false">
      <c r="A54" s="6" t="s">
        <v>462</v>
      </c>
      <c r="B54" s="2"/>
      <c r="C54" s="21" t="n">
        <f aca="false">SUM(D54:AZ54)</f>
        <v>2471.57382141191</v>
      </c>
      <c r="D54" s="21" t="n">
        <f aca="false">IF(2026&gt;Inputs!$B$176,0,D32+D53)</f>
        <v>-28.7832629420656</v>
      </c>
      <c r="E54" s="21" t="n">
        <f aca="false">IF(2027&gt;Inputs!$B$176,0,E32+E53)</f>
        <v>-202.861237916539</v>
      </c>
      <c r="F54" s="21" t="n">
        <f aca="false">IF(2028&gt;Inputs!$B$176,0,F32+F53)</f>
        <v>-245.256090291446</v>
      </c>
      <c r="G54" s="21" t="n">
        <f aca="false">IF(2029&gt;Inputs!$B$176,0,G32+G53)</f>
        <v>-12.3885896191435</v>
      </c>
      <c r="H54" s="21" t="n">
        <f aca="false">IF(2030&gt;Inputs!$B$176,0,H32+H53)</f>
        <v>88.0053662743687</v>
      </c>
      <c r="I54" s="21" t="n">
        <f aca="false">IF(2031&gt;Inputs!$B$176,0,I32+I53)</f>
        <v>102.48339952946</v>
      </c>
      <c r="J54" s="21" t="n">
        <f aca="false">IF(2032&gt;Inputs!$B$176,0,J32+J53)</f>
        <v>106.25937397437</v>
      </c>
      <c r="K54" s="21" t="n">
        <f aca="false">IF(2033&gt;Inputs!$B$176,0,K32+K53)</f>
        <v>110.258903044751</v>
      </c>
      <c r="L54" s="21" t="n">
        <f aca="false">IF(2034&gt;Inputs!$B$176,0,L32+L53)</f>
        <v>120.266091634105</v>
      </c>
      <c r="M54" s="21" t="n">
        <f aca="false">IF(2035&gt;Inputs!$B$176,0,M32+M53)</f>
        <v>125.279225952564</v>
      </c>
      <c r="N54" s="21" t="n">
        <f aca="false">IF(2036&gt;Inputs!$B$176,0,N32+N53)</f>
        <v>129.506848272121</v>
      </c>
      <c r="O54" s="21" t="n">
        <f aca="false">IF(2037&gt;Inputs!$B$176,0,O32+O53)</f>
        <v>139.639077898405</v>
      </c>
      <c r="P54" s="21" t="n">
        <f aca="false">IF(2038&gt;Inputs!$B$176,0,P32+P53)</f>
        <v>143.516772074896</v>
      </c>
      <c r="Q54" s="21" t="n">
        <f aca="false">IF(2039&gt;Inputs!$B$176,0,Q32+Q53)</f>
        <v>147.97699570198</v>
      </c>
      <c r="R54" s="21" t="n">
        <f aca="false">IF(2040&gt;Inputs!$B$176,0,R32+R53)</f>
        <v>1747.67094782408</v>
      </c>
      <c r="S54" s="21" t="n">
        <f aca="false">IF(2041&gt;Inputs!$B$176,0,S32+S53)</f>
        <v>0</v>
      </c>
      <c r="T54" s="21" t="n">
        <f aca="false">IF(2042&gt;Inputs!$B$176,0,T32+T53)</f>
        <v>0</v>
      </c>
      <c r="U54" s="21" t="n">
        <f aca="false">IF(2043&gt;Inputs!$B$176,0,U32+U53)</f>
        <v>0</v>
      </c>
      <c r="V54" s="21" t="n">
        <f aca="false">IF(2044&gt;Inputs!$B$176,0,V32+V53)</f>
        <v>0</v>
      </c>
      <c r="W54" s="21" t="n">
        <f aca="false">IF(2045&gt;Inputs!$B$176,0,W32+W53)</f>
        <v>0</v>
      </c>
      <c r="X54" s="21" t="n">
        <f aca="false">IF(2046&gt;Inputs!$B$176,0,X32+X53)</f>
        <v>0</v>
      </c>
      <c r="Y54" s="21" t="n">
        <f aca="false">IF(2047&gt;Inputs!$B$176,0,Y32+Y53)</f>
        <v>0</v>
      </c>
      <c r="Z54" s="21" t="n">
        <f aca="false">IF(2048&gt;Inputs!$B$176,0,Z32+Z53)</f>
        <v>0</v>
      </c>
      <c r="AA54" s="21" t="n">
        <f aca="false">IF(2049&gt;Inputs!$B$176,0,AA32+AA53)</f>
        <v>0</v>
      </c>
      <c r="AB54" s="21" t="n">
        <f aca="false">IF(2050&gt;Inputs!$B$176,0,AB32+AB53)</f>
        <v>0</v>
      </c>
      <c r="AC54" s="21" t="n">
        <f aca="false">IF(2051&gt;Inputs!$B$176,0,AC32+AC53)</f>
        <v>0</v>
      </c>
      <c r="AD54" s="21" t="n">
        <f aca="false">IF(2052&gt;Inputs!$B$176,0,AD32+AD53)</f>
        <v>0</v>
      </c>
      <c r="AE54" s="21" t="n">
        <f aca="false">IF(2053&gt;Inputs!$B$176,0,AE32+AE53)</f>
        <v>0</v>
      </c>
      <c r="AF54" s="21" t="n">
        <f aca="false">IF(2054&gt;Inputs!$B$176,0,AF32+AF53)</f>
        <v>0</v>
      </c>
      <c r="AG54" s="21" t="n">
        <f aca="false">IF(2055&gt;Inputs!$B$176,0,AG32+AG53)</f>
        <v>0</v>
      </c>
      <c r="AH54" s="21" t="n">
        <f aca="false">IF(2056&gt;Inputs!$B$176,0,AH32+AH53)</f>
        <v>0</v>
      </c>
      <c r="AI54" s="21" t="n">
        <f aca="false">IF(2057&gt;Inputs!$B$176,0,AI32+AI53)</f>
        <v>0</v>
      </c>
      <c r="AJ54" s="21" t="n">
        <f aca="false">IF(2058&gt;Inputs!$B$176,0,AJ32+AJ53)</f>
        <v>0</v>
      </c>
      <c r="AK54" s="21" t="n">
        <f aca="false">IF(2059&gt;Inputs!$B$176,0,AK32+AK53)</f>
        <v>0</v>
      </c>
      <c r="AL54" s="21" t="n">
        <f aca="false">IF(2060&gt;Inputs!$B$176,0,AL32+AL53)</f>
        <v>0</v>
      </c>
      <c r="AM54" s="21" t="n">
        <f aca="false">IF(2061&gt;Inputs!$B$176,0,AM32+AM53)</f>
        <v>0</v>
      </c>
      <c r="AN54" s="21" t="n">
        <f aca="false">IF(2062&gt;Inputs!$B$176,0,AN32+AN53)</f>
        <v>0</v>
      </c>
      <c r="AO54" s="21" t="n">
        <f aca="false">IF(2063&gt;Inputs!$B$176,0,AO32+AO53)</f>
        <v>0</v>
      </c>
      <c r="AP54" s="21" t="n">
        <f aca="false">IF(2064&gt;Inputs!$B$176,0,AP32+AP53)</f>
        <v>0</v>
      </c>
      <c r="AQ54" s="21" t="n">
        <f aca="false">IF(2065&gt;Inputs!$B$176,0,AQ32+AQ53)</f>
        <v>0</v>
      </c>
      <c r="AR54" s="21" t="n">
        <f aca="false">IF(2066&gt;Inputs!$B$176,0,AR32+AR53)</f>
        <v>0</v>
      </c>
      <c r="AS54" s="21" t="n">
        <f aca="false">IF(2067&gt;Inputs!$B$176,0,AS32+AS53)</f>
        <v>0</v>
      </c>
      <c r="AT54" s="21" t="n">
        <f aca="false">IF(2068&gt;Inputs!$B$176,0,AT32+AT53)</f>
        <v>0</v>
      </c>
      <c r="AU54" s="21" t="n">
        <f aca="false">IF(2069&gt;Inputs!$B$176,0,AU32+AU53)</f>
        <v>0</v>
      </c>
      <c r="AV54" s="21" t="n">
        <f aca="false">IF(2070&gt;Inputs!$B$176,0,AV32+AV53)</f>
        <v>0</v>
      </c>
      <c r="AW54" s="21" t="n">
        <f aca="false">IF(2071&gt;Inputs!$B$176,0,AW32+AW53)</f>
        <v>0</v>
      </c>
      <c r="AX54" s="21" t="n">
        <f aca="false">IF(2072&gt;Inputs!$B$176,0,AX32+AX53)</f>
        <v>0</v>
      </c>
      <c r="AY54" s="21" t="n">
        <f aca="false">IF(2073&gt;Inputs!$B$176,0,AY32+AY53)</f>
        <v>0</v>
      </c>
      <c r="AZ54" s="21" t="n">
        <f aca="false">IF(2074&gt;Inputs!$B$176,0,AZ32+AZ53)</f>
        <v>0</v>
      </c>
    </row>
    <row r="55" customFormat="false" ht="15" hidden="false" customHeight="true" outlineLevel="0" collapsed="false">
      <c r="A55" s="6" t="s">
        <v>463</v>
      </c>
      <c r="B55" s="2"/>
      <c r="C55" s="21" t="n">
        <f aca="false">SUM(D55:AZ55)</f>
        <v>1575.40724570362</v>
      </c>
      <c r="D55" s="21" t="n">
        <f aca="false">IF(2026&gt;Inputs!$B$176,0,D50+IF(2026=Inputs!$B$176,MIN(D39,D53)+Inputs!$B$11*(D53-MIN(D39,D53)),0))</f>
        <v>-38.7832629420656</v>
      </c>
      <c r="E55" s="21" t="n">
        <f aca="false">IF(2027&gt;Inputs!$B$176,0,E50+IF(2027=Inputs!$B$176,MIN(E39,E53)+Inputs!$B$11*(E53-MIN(E39,E53)),0))</f>
        <v>-202.861237916539</v>
      </c>
      <c r="F55" s="21" t="n">
        <f aca="false">IF(2028&gt;Inputs!$B$176,0,F50+IF(2028=Inputs!$B$176,MIN(F39,F53)+Inputs!$B$11*(F53-MIN(F39,F53)),0))</f>
        <v>-245.256090291446</v>
      </c>
      <c r="G55" s="21" t="n">
        <f aca="false">IF(2029&gt;Inputs!$B$176,0,G50+IF(2029=Inputs!$B$176,MIN(G39,G53)+Inputs!$B$11*(G53-MIN(G39,G53)),0))</f>
        <v>-12.3885896191435</v>
      </c>
      <c r="H55" s="21" t="n">
        <f aca="false">IF(2030&gt;Inputs!$B$176,0,H50+IF(2030=Inputs!$B$176,MIN(H39,H53)+Inputs!$B$11*(H53-MIN(H39,H53)),0))</f>
        <v>88.0053662743687</v>
      </c>
      <c r="I55" s="21" t="n">
        <f aca="false">IF(2031&gt;Inputs!$B$176,0,I50+IF(2031=Inputs!$B$176,MIN(I39,I53)+Inputs!$B$11*(I53-MIN(I39,I53)),0))</f>
        <v>102.48339952946</v>
      </c>
      <c r="J55" s="21" t="n">
        <f aca="false">IF(2032&gt;Inputs!$B$176,0,J50+IF(2032=Inputs!$B$176,MIN(J39,J53)+Inputs!$B$11*(J53-MIN(J39,J53)),0))</f>
        <v>106.25937397437</v>
      </c>
      <c r="K55" s="21" t="n">
        <f aca="false">IF(2033&gt;Inputs!$B$176,0,K50+IF(2033=Inputs!$B$176,MIN(K39,K53)+Inputs!$B$11*(K53-MIN(K39,K53)),0))</f>
        <v>110.258903044751</v>
      </c>
      <c r="L55" s="21" t="n">
        <f aca="false">IF(2034&gt;Inputs!$B$176,0,L50+IF(2034=Inputs!$B$176,MIN(L39,L53)+Inputs!$B$11*(L53-MIN(L39,L53)),0))</f>
        <v>110.191868306476</v>
      </c>
      <c r="M55" s="21" t="n">
        <f aca="false">IF(2035&gt;Inputs!$B$176,0,M50+IF(2035=Inputs!$B$176,MIN(M39,M53)+Inputs!$B$11*(M53-MIN(M39,M53)),0))</f>
        <v>80.1787046096411</v>
      </c>
      <c r="N55" s="21" t="n">
        <f aca="false">IF(2036&gt;Inputs!$B$176,0,N50+IF(2036=Inputs!$B$176,MIN(N39,N53)+Inputs!$B$11*(N53-MIN(N39,N53)),0))</f>
        <v>82.8843828941575</v>
      </c>
      <c r="O55" s="21" t="n">
        <f aca="false">IF(2037&gt;Inputs!$B$176,0,O50+IF(2037=Inputs!$B$176,MIN(O39,O53)+Inputs!$B$11*(O53-MIN(O39,O53)),0))</f>
        <v>89.3690098549794</v>
      </c>
      <c r="P55" s="21" t="n">
        <f aca="false">IF(2038&gt;Inputs!$B$176,0,P50+IF(2038=Inputs!$B$176,MIN(P39,P53)+Inputs!$B$11*(P53-MIN(P39,P53)),0))</f>
        <v>91.8507341279337</v>
      </c>
      <c r="Q55" s="21" t="n">
        <f aca="false">IF(2039&gt;Inputs!$B$176,0,Q50+IF(2039=Inputs!$B$176,MIN(Q39,Q53)+Inputs!$B$11*(Q53-MIN(Q39,Q53)),0))</f>
        <v>94.7052772492673</v>
      </c>
      <c r="R55" s="21" t="n">
        <f aca="false">IF(2040&gt;Inputs!$B$176,0,R50+IF(2040=Inputs!$B$176,MIN(R39,R53)+Inputs!$B$11*(R53-MIN(R39,R53)),0))</f>
        <v>1118.50940660741</v>
      </c>
      <c r="S55" s="21" t="n">
        <f aca="false">IF(2041&gt;Inputs!$B$176,0,S50+IF(2041=Inputs!$B$176,MIN(S39,S53)+Inputs!$B$11*(S53-MIN(S39,S53)),0))</f>
        <v>0</v>
      </c>
      <c r="T55" s="21" t="n">
        <f aca="false">IF(2042&gt;Inputs!$B$176,0,T50+IF(2042=Inputs!$B$176,MIN(T39,T53)+Inputs!$B$11*(T53-MIN(T39,T53)),0))</f>
        <v>0</v>
      </c>
      <c r="U55" s="21" t="n">
        <f aca="false">IF(2043&gt;Inputs!$B$176,0,U50+IF(2043=Inputs!$B$176,MIN(U39,U53)+Inputs!$B$11*(U53-MIN(U39,U53)),0))</f>
        <v>0</v>
      </c>
      <c r="V55" s="21" t="n">
        <f aca="false">IF(2044&gt;Inputs!$B$176,0,V50+IF(2044=Inputs!$B$176,MIN(V39,V53)+Inputs!$B$11*(V53-MIN(V39,V53)),0))</f>
        <v>0</v>
      </c>
      <c r="W55" s="21" t="n">
        <f aca="false">IF(2045&gt;Inputs!$B$176,0,W50+IF(2045=Inputs!$B$176,MIN(W39,W53)+Inputs!$B$11*(W53-MIN(W39,W53)),0))</f>
        <v>0</v>
      </c>
      <c r="X55" s="21" t="n">
        <f aca="false">IF(2046&gt;Inputs!$B$176,0,X50+IF(2046=Inputs!$B$176,MIN(X39,X53)+Inputs!$B$11*(X53-MIN(X39,X53)),0))</f>
        <v>0</v>
      </c>
      <c r="Y55" s="21" t="n">
        <f aca="false">IF(2047&gt;Inputs!$B$176,0,Y50+IF(2047=Inputs!$B$176,MIN(Y39,Y53)+Inputs!$B$11*(Y53-MIN(Y39,Y53)),0))</f>
        <v>0</v>
      </c>
      <c r="Z55" s="21" t="n">
        <f aca="false">IF(2048&gt;Inputs!$B$176,0,Z50+IF(2048=Inputs!$B$176,MIN(Z39,Z53)+Inputs!$B$11*(Z53-MIN(Z39,Z53)),0))</f>
        <v>0</v>
      </c>
      <c r="AA55" s="21" t="n">
        <f aca="false">IF(2049&gt;Inputs!$B$176,0,AA50+IF(2049=Inputs!$B$176,MIN(AA39,AA53)+Inputs!$B$11*(AA53-MIN(AA39,AA53)),0))</f>
        <v>0</v>
      </c>
      <c r="AB55" s="21" t="n">
        <f aca="false">IF(2050&gt;Inputs!$B$176,0,AB50+IF(2050=Inputs!$B$176,MIN(AB39,AB53)+Inputs!$B$11*(AB53-MIN(AB39,AB53)),0))</f>
        <v>0</v>
      </c>
      <c r="AC55" s="21" t="n">
        <f aca="false">IF(2051&gt;Inputs!$B$176,0,AC50+IF(2051=Inputs!$B$176,MIN(AC39,AC53)+Inputs!$B$11*(AC53-MIN(AC39,AC53)),0))</f>
        <v>0</v>
      </c>
      <c r="AD55" s="21" t="n">
        <f aca="false">IF(2052&gt;Inputs!$B$176,0,AD50+IF(2052=Inputs!$B$176,MIN(AD39,AD53)+Inputs!$B$11*(AD53-MIN(AD39,AD53)),0))</f>
        <v>0</v>
      </c>
      <c r="AE55" s="21" t="n">
        <f aca="false">IF(2053&gt;Inputs!$B$176,0,AE50+IF(2053=Inputs!$B$176,MIN(AE39,AE53)+Inputs!$B$11*(AE53-MIN(AE39,AE53)),0))</f>
        <v>0</v>
      </c>
      <c r="AF55" s="21" t="n">
        <f aca="false">IF(2054&gt;Inputs!$B$176,0,AF50+IF(2054=Inputs!$B$176,MIN(AF39,AF53)+Inputs!$B$11*(AF53-MIN(AF39,AF53)),0))</f>
        <v>0</v>
      </c>
      <c r="AG55" s="21" t="n">
        <f aca="false">IF(2055&gt;Inputs!$B$176,0,AG50+IF(2055=Inputs!$B$176,MIN(AG39,AG53)+Inputs!$B$11*(AG53-MIN(AG39,AG53)),0))</f>
        <v>0</v>
      </c>
      <c r="AH55" s="21" t="n">
        <f aca="false">IF(2056&gt;Inputs!$B$176,0,AH50+IF(2056=Inputs!$B$176,MIN(AH39,AH53)+Inputs!$B$11*(AH53-MIN(AH39,AH53)),0))</f>
        <v>0</v>
      </c>
      <c r="AI55" s="21" t="n">
        <f aca="false">IF(2057&gt;Inputs!$B$176,0,AI50+IF(2057=Inputs!$B$176,MIN(AI39,AI53)+Inputs!$B$11*(AI53-MIN(AI39,AI53)),0))</f>
        <v>0</v>
      </c>
      <c r="AJ55" s="21" t="n">
        <f aca="false">IF(2058&gt;Inputs!$B$176,0,AJ50+IF(2058=Inputs!$B$176,MIN(AJ39,AJ53)+Inputs!$B$11*(AJ53-MIN(AJ39,AJ53)),0))</f>
        <v>0</v>
      </c>
      <c r="AK55" s="21" t="n">
        <f aca="false">IF(2059&gt;Inputs!$B$176,0,AK50+IF(2059=Inputs!$B$176,MIN(AK39,AK53)+Inputs!$B$11*(AK53-MIN(AK39,AK53)),0))</f>
        <v>0</v>
      </c>
      <c r="AL55" s="21" t="n">
        <f aca="false">IF(2060&gt;Inputs!$B$176,0,AL50+IF(2060=Inputs!$B$176,MIN(AL39,AL53)+Inputs!$B$11*(AL53-MIN(AL39,AL53)),0))</f>
        <v>0</v>
      </c>
      <c r="AM55" s="21" t="n">
        <f aca="false">IF(2061&gt;Inputs!$B$176,0,AM50+IF(2061=Inputs!$B$176,MIN(AM39,AM53)+Inputs!$B$11*(AM53-MIN(AM39,AM53)),0))</f>
        <v>0</v>
      </c>
      <c r="AN55" s="21" t="n">
        <f aca="false">IF(2062&gt;Inputs!$B$176,0,AN50+IF(2062=Inputs!$B$176,MIN(AN39,AN53)+Inputs!$B$11*(AN53-MIN(AN39,AN53)),0))</f>
        <v>0</v>
      </c>
      <c r="AO55" s="21" t="n">
        <f aca="false">IF(2063&gt;Inputs!$B$176,0,AO50+IF(2063=Inputs!$B$176,MIN(AO39,AO53)+Inputs!$B$11*(AO53-MIN(AO39,AO53)),0))</f>
        <v>0</v>
      </c>
      <c r="AP55" s="21" t="n">
        <f aca="false">IF(2064&gt;Inputs!$B$176,0,AP50+IF(2064=Inputs!$B$176,MIN(AP39,AP53)+Inputs!$B$11*(AP53-MIN(AP39,AP53)),0))</f>
        <v>0</v>
      </c>
      <c r="AQ55" s="21" t="n">
        <f aca="false">IF(2065&gt;Inputs!$B$176,0,AQ50+IF(2065=Inputs!$B$176,MIN(AQ39,AQ53)+Inputs!$B$11*(AQ53-MIN(AQ39,AQ53)),0))</f>
        <v>0</v>
      </c>
      <c r="AR55" s="21" t="n">
        <f aca="false">IF(2066&gt;Inputs!$B$176,0,AR50+IF(2066=Inputs!$B$176,MIN(AR39,AR53)+Inputs!$B$11*(AR53-MIN(AR39,AR53)),0))</f>
        <v>0</v>
      </c>
      <c r="AS55" s="21" t="n">
        <f aca="false">IF(2067&gt;Inputs!$B$176,0,AS50+IF(2067=Inputs!$B$176,MIN(AS39,AS53)+Inputs!$B$11*(AS53-MIN(AS39,AS53)),0))</f>
        <v>0</v>
      </c>
      <c r="AT55" s="21" t="n">
        <f aca="false">IF(2068&gt;Inputs!$B$176,0,AT50+IF(2068=Inputs!$B$176,MIN(AT39,AT53)+Inputs!$B$11*(AT53-MIN(AT39,AT53)),0))</f>
        <v>0</v>
      </c>
      <c r="AU55" s="21" t="n">
        <f aca="false">IF(2069&gt;Inputs!$B$176,0,AU50+IF(2069=Inputs!$B$176,MIN(AU39,AU53)+Inputs!$B$11*(AU53-MIN(AU39,AU53)),0))</f>
        <v>0</v>
      </c>
      <c r="AV55" s="21" t="n">
        <f aca="false">IF(2070&gt;Inputs!$B$176,0,AV50+IF(2070=Inputs!$B$176,MIN(AV39,AV53)+Inputs!$B$11*(AV53-MIN(AV39,AV53)),0))</f>
        <v>0</v>
      </c>
      <c r="AW55" s="21" t="n">
        <f aca="false">IF(2071&gt;Inputs!$B$176,0,AW50+IF(2071=Inputs!$B$176,MIN(AW39,AW53)+Inputs!$B$11*(AW53-MIN(AW39,AW53)),0))</f>
        <v>0</v>
      </c>
      <c r="AX55" s="21" t="n">
        <f aca="false">IF(2072&gt;Inputs!$B$176,0,AX50+IF(2072=Inputs!$B$176,MIN(AX39,AX53)+Inputs!$B$11*(AX53-MIN(AX39,AX53)),0))</f>
        <v>0</v>
      </c>
      <c r="AY55" s="21" t="n">
        <f aca="false">IF(2073&gt;Inputs!$B$176,0,AY50+IF(2073=Inputs!$B$176,MIN(AY39,AY53)+Inputs!$B$11*(AY53-MIN(AY39,AY53)),0))</f>
        <v>0</v>
      </c>
      <c r="AZ55" s="21" t="n">
        <f aca="false">IF(2074&gt;Inputs!$B$176,0,AZ50+IF(2074=Inputs!$B$176,MIN(AZ39,AZ53)+Inputs!$B$11*(AZ53-MIN(AZ39,AZ53)),0))</f>
        <v>0</v>
      </c>
    </row>
    <row r="56" customFormat="false" ht="15" hidden="false" customHeight="true" outlineLevel="0" collapsed="false">
      <c r="A56" s="13" t="s">
        <v>464</v>
      </c>
      <c r="B56" s="2"/>
      <c r="C56" s="41" t="n">
        <f aca="false">SUM(D56:AZ56)</f>
        <v>886.166575708286</v>
      </c>
      <c r="D56" s="41" t="n">
        <f aca="false">IF(2026&gt;Inputs!$B$176,0,D46-D20+IF(2026=Inputs!$B$176,Inputs!$B$12*(D53-MIN(D39,D53)),0))</f>
        <v>0</v>
      </c>
      <c r="E56" s="41" t="n">
        <f aca="false">IF(2027&gt;Inputs!$B$176,0,E46-E20+IF(2027=Inputs!$B$176,Inputs!$B$12*(E53-MIN(E39,E53)),0))</f>
        <v>0</v>
      </c>
      <c r="F56" s="41" t="n">
        <f aca="false">IF(2028&gt;Inputs!$B$176,0,F46-F20+IF(2028=Inputs!$B$176,Inputs!$B$12*(F53-MIN(F39,F53)),0))</f>
        <v>0</v>
      </c>
      <c r="G56" s="41" t="n">
        <f aca="false">IF(2029&gt;Inputs!$B$176,0,G46-G20+IF(2029=Inputs!$B$176,Inputs!$B$12*(G53-MIN(G39,G53)),0))</f>
        <v>0</v>
      </c>
      <c r="H56" s="41" t="n">
        <f aca="false">IF(2030&gt;Inputs!$B$176,0,H46-H20+IF(2030=Inputs!$B$176,Inputs!$B$12*(H53-MIN(H39,H53)),0))</f>
        <v>0</v>
      </c>
      <c r="I56" s="41" t="n">
        <f aca="false">IF(2031&gt;Inputs!$B$176,0,I46-I20+IF(2031=Inputs!$B$176,Inputs!$B$12*(I53-MIN(I39,I53)),0))</f>
        <v>0</v>
      </c>
      <c r="J56" s="41" t="n">
        <f aca="false">IF(2032&gt;Inputs!$B$176,0,J46-J20+IF(2032=Inputs!$B$176,Inputs!$B$12*(J53-MIN(J39,J53)),0))</f>
        <v>0</v>
      </c>
      <c r="K56" s="41" t="n">
        <f aca="false">IF(2033&gt;Inputs!$B$176,0,K46-K20+IF(2033=Inputs!$B$176,Inputs!$B$12*(K53-MIN(K39,K53)),0))</f>
        <v>0</v>
      </c>
      <c r="L56" s="41" t="n">
        <f aca="false">IF(2034&gt;Inputs!$B$176,0,L46-L20+IF(2034=Inputs!$B$176,Inputs!$B$12*(L53-MIN(L39,L53)),0))</f>
        <v>10.0742233276298</v>
      </c>
      <c r="M56" s="41" t="n">
        <f aca="false">IF(2035&gt;Inputs!$B$176,0,M46-M20+IF(2035=Inputs!$B$176,Inputs!$B$12*(M53-MIN(M39,M53)),0))</f>
        <v>45.1005213429231</v>
      </c>
      <c r="N56" s="41" t="n">
        <f aca="false">IF(2036&gt;Inputs!$B$176,0,N46-N20+IF(2036=Inputs!$B$176,Inputs!$B$12*(N53-MIN(N39,N53)),0))</f>
        <v>46.6224653779636</v>
      </c>
      <c r="O56" s="41" t="n">
        <f aca="false">IF(2037&gt;Inputs!$B$176,0,O46-O20+IF(2037=Inputs!$B$176,Inputs!$B$12*(O53-MIN(O39,O53)),0))</f>
        <v>50.2700680434259</v>
      </c>
      <c r="P56" s="41" t="n">
        <f aca="false">IF(2038&gt;Inputs!$B$176,0,P46-P20+IF(2038=Inputs!$B$176,Inputs!$B$12*(P53-MIN(P39,P53)),0))</f>
        <v>51.6660379469627</v>
      </c>
      <c r="Q56" s="41" t="n">
        <f aca="false">IF(2039&gt;Inputs!$B$176,0,Q46-Q20+IF(2039=Inputs!$B$176,Inputs!$B$12*(Q53-MIN(Q39,Q53)),0))</f>
        <v>53.2717184527129</v>
      </c>
      <c r="R56" s="41" t="n">
        <f aca="false">IF(2040&gt;Inputs!$B$176,0,R46-R20+IF(2040=Inputs!$B$176,Inputs!$B$12*(R53-MIN(R39,R53)),0))</f>
        <v>629.161541216668</v>
      </c>
      <c r="S56" s="41" t="n">
        <f aca="false">IF(2041&gt;Inputs!$B$176,0,S46-S20+IF(2041=Inputs!$B$176,Inputs!$B$12*(S53-MIN(S39,S53)),0))</f>
        <v>0</v>
      </c>
      <c r="T56" s="41" t="n">
        <f aca="false">IF(2042&gt;Inputs!$B$176,0,T46-T20+IF(2042=Inputs!$B$176,Inputs!$B$12*(T53-MIN(T39,T53)),0))</f>
        <v>0</v>
      </c>
      <c r="U56" s="41" t="n">
        <f aca="false">IF(2043&gt;Inputs!$B$176,0,U46-U20+IF(2043=Inputs!$B$176,Inputs!$B$12*(U53-MIN(U39,U53)),0))</f>
        <v>0</v>
      </c>
      <c r="V56" s="41" t="n">
        <f aca="false">IF(2044&gt;Inputs!$B$176,0,V46-V20+IF(2044=Inputs!$B$176,Inputs!$B$12*(V53-MIN(V39,V53)),0))</f>
        <v>0</v>
      </c>
      <c r="W56" s="41" t="n">
        <f aca="false">IF(2045&gt;Inputs!$B$176,0,W46-W20+IF(2045=Inputs!$B$176,Inputs!$B$12*(W53-MIN(W39,W53)),0))</f>
        <v>0</v>
      </c>
      <c r="X56" s="41" t="n">
        <f aca="false">IF(2046&gt;Inputs!$B$176,0,X46-X20+IF(2046=Inputs!$B$176,Inputs!$B$12*(X53-MIN(X39,X53)),0))</f>
        <v>0</v>
      </c>
      <c r="Y56" s="41" t="n">
        <f aca="false">IF(2047&gt;Inputs!$B$176,0,Y46-Y20+IF(2047=Inputs!$B$176,Inputs!$B$12*(Y53-MIN(Y39,Y53)),0))</f>
        <v>0</v>
      </c>
      <c r="Z56" s="41" t="n">
        <f aca="false">IF(2048&gt;Inputs!$B$176,0,Z46-Z20+IF(2048=Inputs!$B$176,Inputs!$B$12*(Z53-MIN(Z39,Z53)),0))</f>
        <v>0</v>
      </c>
      <c r="AA56" s="41" t="n">
        <f aca="false">IF(2049&gt;Inputs!$B$176,0,AA46-AA20+IF(2049=Inputs!$B$176,Inputs!$B$12*(AA53-MIN(AA39,AA53)),0))</f>
        <v>0</v>
      </c>
      <c r="AB56" s="41" t="n">
        <f aca="false">IF(2050&gt;Inputs!$B$176,0,AB46-AB20+IF(2050=Inputs!$B$176,Inputs!$B$12*(AB53-MIN(AB39,AB53)),0))</f>
        <v>0</v>
      </c>
      <c r="AC56" s="41" t="n">
        <f aca="false">IF(2051&gt;Inputs!$B$176,0,AC46-AC20+IF(2051=Inputs!$B$176,Inputs!$B$12*(AC53-MIN(AC39,AC53)),0))</f>
        <v>0</v>
      </c>
      <c r="AD56" s="41" t="n">
        <f aca="false">IF(2052&gt;Inputs!$B$176,0,AD46-AD20+IF(2052=Inputs!$B$176,Inputs!$B$12*(AD53-MIN(AD39,AD53)),0))</f>
        <v>0</v>
      </c>
      <c r="AE56" s="41" t="n">
        <f aca="false">IF(2053&gt;Inputs!$B$176,0,AE46-AE20+IF(2053=Inputs!$B$176,Inputs!$B$12*(AE53-MIN(AE39,AE53)),0))</f>
        <v>0</v>
      </c>
      <c r="AF56" s="41" t="n">
        <f aca="false">IF(2054&gt;Inputs!$B$176,0,AF46-AF20+IF(2054=Inputs!$B$176,Inputs!$B$12*(AF53-MIN(AF39,AF53)),0))</f>
        <v>0</v>
      </c>
      <c r="AG56" s="41" t="n">
        <f aca="false">IF(2055&gt;Inputs!$B$176,0,AG46-AG20+IF(2055=Inputs!$B$176,Inputs!$B$12*(AG53-MIN(AG39,AG53)),0))</f>
        <v>0</v>
      </c>
      <c r="AH56" s="41" t="n">
        <f aca="false">IF(2056&gt;Inputs!$B$176,0,AH46-AH20+IF(2056=Inputs!$B$176,Inputs!$B$12*(AH53-MIN(AH39,AH53)),0))</f>
        <v>0</v>
      </c>
      <c r="AI56" s="41" t="n">
        <f aca="false">IF(2057&gt;Inputs!$B$176,0,AI46-AI20+IF(2057=Inputs!$B$176,Inputs!$B$12*(AI53-MIN(AI39,AI53)),0))</f>
        <v>0</v>
      </c>
      <c r="AJ56" s="41" t="n">
        <f aca="false">IF(2058&gt;Inputs!$B$176,0,AJ46-AJ20+IF(2058=Inputs!$B$176,Inputs!$B$12*(AJ53-MIN(AJ39,AJ53)),0))</f>
        <v>0</v>
      </c>
      <c r="AK56" s="41" t="n">
        <f aca="false">IF(2059&gt;Inputs!$B$176,0,AK46-AK20+IF(2059=Inputs!$B$176,Inputs!$B$12*(AK53-MIN(AK39,AK53)),0))</f>
        <v>0</v>
      </c>
      <c r="AL56" s="41" t="n">
        <f aca="false">IF(2060&gt;Inputs!$B$176,0,AL46-AL20+IF(2060=Inputs!$B$176,Inputs!$B$12*(AL53-MIN(AL39,AL53)),0))</f>
        <v>0</v>
      </c>
      <c r="AM56" s="41" t="n">
        <f aca="false">IF(2061&gt;Inputs!$B$176,0,AM46-AM20+IF(2061=Inputs!$B$176,Inputs!$B$12*(AM53-MIN(AM39,AM53)),0))</f>
        <v>0</v>
      </c>
      <c r="AN56" s="41" t="n">
        <f aca="false">IF(2062&gt;Inputs!$B$176,0,AN46-AN20+IF(2062=Inputs!$B$176,Inputs!$B$12*(AN53-MIN(AN39,AN53)),0))</f>
        <v>0</v>
      </c>
      <c r="AO56" s="41" t="n">
        <f aca="false">IF(2063&gt;Inputs!$B$176,0,AO46-AO20+IF(2063=Inputs!$B$176,Inputs!$B$12*(AO53-MIN(AO39,AO53)),0))</f>
        <v>0</v>
      </c>
      <c r="AP56" s="41" t="n">
        <f aca="false">IF(2064&gt;Inputs!$B$176,0,AP46-AP20+IF(2064=Inputs!$B$176,Inputs!$B$12*(AP53-MIN(AP39,AP53)),0))</f>
        <v>0</v>
      </c>
      <c r="AQ56" s="41" t="n">
        <f aca="false">IF(2065&gt;Inputs!$B$176,0,AQ46-AQ20+IF(2065=Inputs!$B$176,Inputs!$B$12*(AQ53-MIN(AQ39,AQ53)),0))</f>
        <v>0</v>
      </c>
      <c r="AR56" s="41" t="n">
        <f aca="false">IF(2066&gt;Inputs!$B$176,0,AR46-AR20+IF(2066=Inputs!$B$176,Inputs!$B$12*(AR53-MIN(AR39,AR53)),0))</f>
        <v>0</v>
      </c>
      <c r="AS56" s="41" t="n">
        <f aca="false">IF(2067&gt;Inputs!$B$176,0,AS46-AS20+IF(2067=Inputs!$B$176,Inputs!$B$12*(AS53-MIN(AS39,AS53)),0))</f>
        <v>0</v>
      </c>
      <c r="AT56" s="41" t="n">
        <f aca="false">IF(2068&gt;Inputs!$B$176,0,AT46-AT20+IF(2068=Inputs!$B$176,Inputs!$B$12*(AT53-MIN(AT39,AT53)),0))</f>
        <v>0</v>
      </c>
      <c r="AU56" s="41" t="n">
        <f aca="false">IF(2069&gt;Inputs!$B$176,0,AU46-AU20+IF(2069=Inputs!$B$176,Inputs!$B$12*(AU53-MIN(AU39,AU53)),0))</f>
        <v>0</v>
      </c>
      <c r="AV56" s="41" t="n">
        <f aca="false">IF(2070&gt;Inputs!$B$176,0,AV46-AV20+IF(2070=Inputs!$B$176,Inputs!$B$12*(AV53-MIN(AV39,AV53)),0))</f>
        <v>0</v>
      </c>
      <c r="AW56" s="41" t="n">
        <f aca="false">IF(2071&gt;Inputs!$B$176,0,AW46-AW20+IF(2071=Inputs!$B$176,Inputs!$B$12*(AW53-MIN(AW39,AW53)),0))</f>
        <v>0</v>
      </c>
      <c r="AX56" s="41" t="n">
        <f aca="false">IF(2072&gt;Inputs!$B$176,0,AX46-AX20+IF(2072=Inputs!$B$176,Inputs!$B$12*(AX53-MIN(AX39,AX53)),0))</f>
        <v>0</v>
      </c>
      <c r="AY56" s="41" t="n">
        <f aca="false">IF(2073&gt;Inputs!$B$176,0,AY46-AY20+IF(2073=Inputs!$B$176,Inputs!$B$12*(AY53-MIN(AY39,AY53)),0))</f>
        <v>0</v>
      </c>
      <c r="AZ56" s="41" t="n">
        <f aca="false">IF(2074&gt;Inputs!$B$176,0,AZ46-AZ20+IF(2074=Inputs!$B$176,Inputs!$B$12*(AZ53-MIN(AZ39,AZ53)),0))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60"/>
    <col collapsed="false" customWidth="true" hidden="false" outlineLevel="0" max="2" min="2" style="1" width="16"/>
    <col collapsed="false" customWidth="true" hidden="false" outlineLevel="0" max="3" min="3" style="1" width="60"/>
  </cols>
  <sheetData>
    <row r="1" customFormat="false" ht="17.25" hidden="false" customHeight="true" outlineLevel="0" collapsed="false">
      <c r="A1" s="8" t="s">
        <v>465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customFormat="false" ht="15" hidden="false" customHeight="true" outlineLevel="0" collapsed="false">
      <c r="A2" s="10" t="s">
        <v>466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false" ht="15" hidden="false" customHeight="tru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15" hidden="false" customHeight="true" outlineLevel="0" collapsed="false">
      <c r="A4" s="11" t="s">
        <v>467</v>
      </c>
      <c r="B4" s="12"/>
      <c r="C4" s="12"/>
      <c r="D4" s="2"/>
      <c r="E4" s="2"/>
      <c r="F4" s="2"/>
      <c r="G4" s="2"/>
      <c r="H4" s="2"/>
      <c r="I4" s="2"/>
      <c r="J4" s="2"/>
      <c r="K4" s="2"/>
    </row>
    <row r="5" customFormat="false" ht="15" hidden="false" customHeight="true" outlineLevel="0" collapsed="false">
      <c r="A5" s="13" t="s">
        <v>468</v>
      </c>
      <c r="B5" s="41" t="n">
        <f aca="false">Capex!C21</f>
        <v>497.07</v>
      </c>
      <c r="C5" s="2"/>
      <c r="D5" s="2"/>
      <c r="E5" s="2"/>
      <c r="F5" s="2"/>
      <c r="G5" s="2"/>
      <c r="H5" s="2"/>
      <c r="I5" s="2"/>
      <c r="J5" s="2"/>
      <c r="K5" s="2"/>
    </row>
    <row r="6" customFormat="false" ht="15" hidden="false" customHeight="true" outlineLevel="0" collapsed="false">
      <c r="A6" s="13" t="s">
        <v>469</v>
      </c>
      <c r="B6" s="41" t="n">
        <f aca="false">Capex!C27</f>
        <v>53.03</v>
      </c>
      <c r="C6" s="2"/>
      <c r="D6" s="2"/>
      <c r="E6" s="2"/>
      <c r="F6" s="2"/>
      <c r="G6" s="2"/>
      <c r="H6" s="2"/>
      <c r="I6" s="2"/>
      <c r="J6" s="2"/>
      <c r="K6" s="2"/>
    </row>
    <row r="7" customFormat="false" ht="15" hidden="false" customHeight="true" outlineLevel="0" collapsed="false">
      <c r="A7" s="6" t="s">
        <v>470</v>
      </c>
      <c r="B7" s="21" t="n">
        <f aca="false">Capex!C29</f>
        <v>550.1</v>
      </c>
      <c r="C7" s="2"/>
      <c r="D7" s="2"/>
      <c r="E7" s="2"/>
      <c r="F7" s="2"/>
      <c r="G7" s="2"/>
      <c r="H7" s="2"/>
      <c r="I7" s="2"/>
      <c r="J7" s="2"/>
      <c r="K7" s="2"/>
    </row>
    <row r="8" customFormat="false" ht="15" hidden="false" customHeight="true" outlineLevel="0" collapsed="false">
      <c r="A8" s="6" t="s">
        <v>471</v>
      </c>
      <c r="B8" s="21" t="n">
        <f aca="false">MAX('SPV Cash Flow'!D39:AZ39)</f>
        <v>499.289180769194</v>
      </c>
      <c r="C8" s="2"/>
      <c r="D8" s="2"/>
      <c r="E8" s="2"/>
      <c r="F8" s="2"/>
      <c r="G8" s="2"/>
      <c r="H8" s="2"/>
      <c r="I8" s="2"/>
      <c r="J8" s="2"/>
      <c r="K8" s="2"/>
    </row>
    <row r="9" customFormat="false" ht="15" hidden="false" customHeight="true" outlineLevel="0" collapsed="false">
      <c r="A9" s="13" t="s">
        <v>472</v>
      </c>
      <c r="B9" s="51" t="str">
        <f aca="false">INDEX('SPV Cash Flow'!D4:AZ4,MATCH(B8,'SPV Cash Flow'!D39:AZ39,0))</f>
        <v>2029</v>
      </c>
      <c r="C9" s="2"/>
      <c r="D9" s="2"/>
      <c r="E9" s="2"/>
      <c r="F9" s="2"/>
      <c r="G9" s="2"/>
      <c r="H9" s="2"/>
      <c r="I9" s="2"/>
      <c r="J9" s="2"/>
      <c r="K9" s="2"/>
    </row>
    <row r="10" customFormat="false" ht="15" hidden="false" customHeight="true" outlineLevel="0" collapsed="false">
      <c r="A10" s="13" t="s">
        <v>473</v>
      </c>
      <c r="B10" s="41" t="n">
        <f aca="false">'SPV Cash Flow'!I9</f>
        <v>284.958725066903</v>
      </c>
      <c r="C10" s="2"/>
      <c r="D10" s="2"/>
      <c r="E10" s="2"/>
      <c r="F10" s="2"/>
      <c r="G10" s="2"/>
      <c r="H10" s="2"/>
      <c r="I10" s="2"/>
      <c r="J10" s="2"/>
      <c r="K10" s="2"/>
    </row>
    <row r="11" customFormat="false" ht="15" hidden="false" customHeight="true" outlineLevel="0" collapsed="false">
      <c r="A11" s="13" t="s">
        <v>474</v>
      </c>
      <c r="B11" s="41" t="n">
        <f aca="false">'SPV Cash Flow'!I23</f>
        <v>104.629686696882</v>
      </c>
      <c r="C11" s="2"/>
      <c r="D11" s="2"/>
      <c r="E11" s="2"/>
      <c r="F11" s="2"/>
      <c r="G11" s="2"/>
      <c r="H11" s="2"/>
      <c r="I11" s="2"/>
      <c r="J11" s="2"/>
      <c r="K11" s="2"/>
    </row>
    <row r="12" customFormat="false" ht="15" hidden="false" customHeight="true" outlineLevel="0" collapsed="false">
      <c r="A12" s="13" t="s">
        <v>475</v>
      </c>
      <c r="B12" s="41" t="n">
        <f aca="false">'SPV Cash Flow'!J23</f>
        <v>108.502480999354</v>
      </c>
      <c r="C12" s="2"/>
      <c r="D12" s="2"/>
      <c r="E12" s="2"/>
      <c r="F12" s="2"/>
      <c r="G12" s="2"/>
      <c r="H12" s="2"/>
      <c r="I12" s="2"/>
      <c r="J12" s="2"/>
      <c r="K12" s="2"/>
    </row>
    <row r="13" customFormat="false" ht="15" hidden="false" customHeight="true" outlineLevel="0" collapsed="false">
      <c r="A13" s="6" t="s">
        <v>476</v>
      </c>
      <c r="B13" s="52" t="n">
        <f aca="false">B12/B7</f>
        <v>0.197241376112259</v>
      </c>
      <c r="C13" s="2"/>
      <c r="D13" s="2"/>
      <c r="E13" s="2"/>
      <c r="F13" s="2"/>
      <c r="G13" s="2"/>
      <c r="H13" s="2"/>
      <c r="I13" s="2"/>
      <c r="J13" s="2"/>
      <c r="K13" s="2"/>
    </row>
    <row r="14" customFormat="false" ht="15" hidden="false" customHeight="true" outlineLevel="0" collapsed="false">
      <c r="A14" s="6" t="s">
        <v>477</v>
      </c>
      <c r="B14" s="52" t="n">
        <f aca="false">IRR('SPV Cash Flow'!D32:AZ32)</f>
        <v>0.193390867560672</v>
      </c>
      <c r="C14" s="2"/>
      <c r="D14" s="2"/>
      <c r="E14" s="2"/>
      <c r="F14" s="2"/>
      <c r="G14" s="2"/>
      <c r="H14" s="2"/>
      <c r="I14" s="2"/>
      <c r="J14" s="2"/>
      <c r="K14" s="2"/>
    </row>
    <row r="15" customFormat="false" ht="15" hidden="false" customHeight="true" outlineLevel="0" collapsed="false">
      <c r="A15" s="6" t="s">
        <v>478</v>
      </c>
      <c r="B15" s="52" t="n">
        <f aca="false">IRR('SPV Cash Flow'!D54:AZ54)</f>
        <v>0.212316225568526</v>
      </c>
      <c r="C15" s="2"/>
      <c r="D15" s="2"/>
      <c r="E15" s="2"/>
      <c r="F15" s="2"/>
      <c r="G15" s="2"/>
      <c r="H15" s="2"/>
      <c r="I15" s="2"/>
      <c r="J15" s="2"/>
      <c r="K15" s="2"/>
    </row>
    <row r="16" customFormat="false" ht="15" hidden="false" customHeight="true" outlineLevel="0" collapsed="false">
      <c r="A16" s="13" t="s">
        <v>479</v>
      </c>
      <c r="B16" s="41" t="n">
        <f aca="false">NPV(Inputs!$B$175,'SPV Cash Flow'!D32:AZ32)*(1+Inputs!$B$175)</f>
        <v>326.164330334622</v>
      </c>
      <c r="C16" s="2"/>
      <c r="D16" s="2"/>
      <c r="E16" s="2"/>
      <c r="F16" s="2"/>
      <c r="G16" s="2"/>
      <c r="H16" s="2"/>
      <c r="I16" s="2"/>
      <c r="J16" s="2"/>
      <c r="K16" s="2"/>
    </row>
    <row r="17" customFormat="false" ht="15" hidden="false" customHeight="true" outlineLevel="0" collapsed="false">
      <c r="A17" s="13" t="s">
        <v>480</v>
      </c>
      <c r="B17" s="41" t="n">
        <f aca="false">SUM('SPV Cash Flow'!D53:AZ53)</f>
        <v>1588.37616041888</v>
      </c>
      <c r="C17" s="2"/>
      <c r="D17" s="2"/>
      <c r="E17" s="2"/>
      <c r="F17" s="2"/>
      <c r="G17" s="2"/>
      <c r="H17" s="2"/>
      <c r="I17" s="2"/>
      <c r="J17" s="2"/>
      <c r="K17" s="2"/>
    </row>
    <row r="18" customFormat="false" ht="15" hidden="false" customHeight="true" outlineLevel="0" collapsed="false">
      <c r="A18" s="13" t="s">
        <v>481</v>
      </c>
      <c r="B18" s="51" t="str">
        <f aca="false">INDEX('SPV Cash Flow'!D4:AZ4,MATCH(TRUE(),INDEX('SPV Cash Flow'!D33:AZ33&gt;0,0),0))</f>
        <v>2034</v>
      </c>
      <c r="C18" s="2"/>
      <c r="D18" s="2"/>
      <c r="E18" s="2"/>
      <c r="F18" s="2"/>
      <c r="G18" s="2"/>
      <c r="H18" s="2"/>
      <c r="I18" s="2"/>
      <c r="J18" s="2"/>
      <c r="K18" s="2"/>
    </row>
    <row r="19" customFormat="false" ht="15" hidden="false" customHeight="true" outlineLevel="0" collapsed="false">
      <c r="A19" s="6" t="s">
        <v>482</v>
      </c>
      <c r="B19" s="21" t="n">
        <f aca="false">'SPV Cash Flow'!J23/Inputs!$B$178*(1-(1+Inputs!$B$178)^-(Inputs!$B$55-2028))</f>
        <v>1071.49236870581</v>
      </c>
      <c r="C19" s="2"/>
      <c r="D19" s="2"/>
      <c r="E19" s="2"/>
      <c r="F19" s="2"/>
      <c r="G19" s="2"/>
      <c r="H19" s="2"/>
      <c r="I19" s="2"/>
      <c r="J19" s="2"/>
      <c r="K19" s="2"/>
    </row>
    <row r="20" customFormat="false" ht="15" hidden="false" customHeight="true" outlineLevel="0" collapsed="false">
      <c r="A20" s="13" t="s">
        <v>483</v>
      </c>
      <c r="B20" s="24" t="n">
        <f aca="false">B19/B8</f>
        <v>2.14603562419495</v>
      </c>
      <c r="C20" s="2"/>
      <c r="D20" s="2"/>
      <c r="E20" s="2"/>
      <c r="F20" s="2"/>
      <c r="G20" s="2"/>
      <c r="H20" s="2"/>
      <c r="I20" s="2"/>
      <c r="J20" s="2"/>
      <c r="K20" s="2"/>
    </row>
    <row r="21" customFormat="false" ht="15" hidden="false" customHeight="true" outlineLevel="0" collapsed="false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customFormat="false" ht="15" hidden="false" customHeight="true" outlineLevel="0" collapsed="false">
      <c r="A22" s="11" t="s">
        <v>484</v>
      </c>
      <c r="B22" s="12"/>
      <c r="C22" s="12"/>
      <c r="D22" s="2"/>
      <c r="E22" s="2"/>
      <c r="F22" s="2"/>
      <c r="G22" s="2"/>
      <c r="H22" s="2"/>
      <c r="I22" s="2"/>
      <c r="J22" s="2"/>
      <c r="K22" s="2"/>
    </row>
    <row r="23" customFormat="false" ht="15" hidden="false" customHeight="true" outlineLevel="0" collapsed="false">
      <c r="A23" s="6" t="s">
        <v>485</v>
      </c>
      <c r="B23" s="21" t="n">
        <f aca="false">SUM('SPV Cash Flow'!D37:AZ37)</f>
        <v>499.289180769194</v>
      </c>
      <c r="C23" s="2"/>
      <c r="D23" s="2"/>
      <c r="E23" s="2"/>
      <c r="F23" s="2"/>
      <c r="G23" s="2"/>
      <c r="H23" s="2"/>
      <c r="I23" s="2"/>
      <c r="J23" s="2"/>
      <c r="K23" s="2"/>
    </row>
    <row r="24" customFormat="false" ht="15" hidden="false" customHeight="true" outlineLevel="0" collapsed="false">
      <c r="A24" s="6" t="s">
        <v>486</v>
      </c>
      <c r="B24" s="53" t="str">
        <f aca="false">INDEX('SPV Cash Flow'!D4:AZ4,MATCH(TRUE(),INDEX(('SPV Cash Flow'!D39:AZ39=0)*('SPV Cash Flow'!D36:AZ36&gt;0),0),0))</f>
        <v>2034</v>
      </c>
      <c r="C24" s="2"/>
      <c r="D24" s="2"/>
      <c r="E24" s="2"/>
      <c r="F24" s="2"/>
      <c r="G24" s="2"/>
      <c r="H24" s="2"/>
      <c r="I24" s="2"/>
      <c r="J24" s="2"/>
      <c r="K24" s="2"/>
    </row>
    <row r="25" customFormat="false" ht="15" hidden="false" customHeight="true" outlineLevel="0" collapsed="false">
      <c r="A25" s="13" t="s">
        <v>487</v>
      </c>
      <c r="B25" s="41" t="n">
        <f aca="false">SUM('SPV Cash Flow'!D49:AZ49)</f>
        <v>6794.88771492634</v>
      </c>
      <c r="C25" s="2"/>
      <c r="D25" s="2"/>
      <c r="E25" s="2"/>
      <c r="F25" s="2"/>
      <c r="G25" s="2"/>
      <c r="H25" s="2"/>
      <c r="I25" s="2"/>
      <c r="J25" s="2"/>
      <c r="K25" s="2"/>
    </row>
    <row r="26" customFormat="false" ht="15" hidden="false" customHeight="true" outlineLevel="0" collapsed="false">
      <c r="A26" s="6" t="s">
        <v>488</v>
      </c>
      <c r="B26" s="54" t="n">
        <f aca="false">B25/B23</f>
        <v>13.6091226820863</v>
      </c>
      <c r="C26" s="2"/>
      <c r="D26" s="2"/>
      <c r="E26" s="2"/>
      <c r="F26" s="2"/>
      <c r="G26" s="2"/>
      <c r="H26" s="2"/>
      <c r="I26" s="2"/>
      <c r="J26" s="2"/>
      <c r="K26" s="2"/>
    </row>
    <row r="27" customFormat="false" ht="15" hidden="false" customHeight="true" outlineLevel="0" collapsed="false">
      <c r="A27" s="6" t="s">
        <v>489</v>
      </c>
      <c r="B27" s="52" t="n">
        <f aca="false">IRR('SPV Cash Flow'!D50:AZ50)</f>
        <v>0.161589312869608</v>
      </c>
      <c r="C27" s="2"/>
      <c r="D27" s="2"/>
      <c r="E27" s="2"/>
      <c r="F27" s="2"/>
      <c r="G27" s="2"/>
      <c r="H27" s="2"/>
      <c r="I27" s="2"/>
      <c r="J27" s="2"/>
      <c r="K27" s="2"/>
    </row>
    <row r="28" customFormat="false" ht="15" hidden="false" customHeight="true" outlineLevel="0" collapsed="false">
      <c r="A28" s="6" t="s">
        <v>490</v>
      </c>
      <c r="B28" s="52" t="n">
        <f aca="false">IRR('SPV Cash Flow'!D55:AZ55)</f>
        <v>0.172688828506123</v>
      </c>
      <c r="C28" s="2"/>
      <c r="D28" s="2"/>
      <c r="E28" s="2"/>
      <c r="F28" s="2"/>
      <c r="G28" s="2"/>
      <c r="H28" s="2"/>
      <c r="I28" s="2"/>
      <c r="J28" s="2"/>
      <c r="K28" s="2"/>
    </row>
    <row r="29" customFormat="false" ht="15" hidden="false" customHeight="true" outlineLevel="0" collapsed="false">
      <c r="A29" s="13" t="s">
        <v>491</v>
      </c>
      <c r="B29" s="24" t="n">
        <f aca="false">SUMIF('SPV Cash Flow'!D55:AZ55,"&gt;0")/-SUMIF('SPV Cash Flow'!D55:AZ55,"&lt;0")</f>
        <v>4.15530018751174</v>
      </c>
      <c r="C29" s="2"/>
      <c r="D29" s="2"/>
      <c r="E29" s="2"/>
      <c r="F29" s="2"/>
      <c r="G29" s="2"/>
      <c r="H29" s="2"/>
      <c r="I29" s="2"/>
      <c r="J29" s="2"/>
      <c r="K29" s="2"/>
    </row>
    <row r="30" customFormat="false" ht="15" hidden="false" customHeight="true" outlineLevel="0" collapsed="false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customFormat="false" ht="15" hidden="false" customHeight="true" outlineLevel="0" collapsed="false">
      <c r="A31" s="11" t="s">
        <v>492</v>
      </c>
      <c r="B31" s="12"/>
      <c r="C31" s="12"/>
      <c r="D31" s="2"/>
      <c r="E31" s="2"/>
      <c r="F31" s="2"/>
      <c r="G31" s="2"/>
      <c r="H31" s="2"/>
      <c r="I31" s="2"/>
      <c r="J31" s="2"/>
      <c r="K31" s="2"/>
    </row>
    <row r="32" customFormat="false" ht="15" hidden="false" customHeight="true" outlineLevel="0" collapsed="false">
      <c r="A32" s="13" t="s">
        <v>493</v>
      </c>
      <c r="B32" s="41" t="n">
        <f aca="false">Inputs!$B$185</f>
        <v>85.0023851991966</v>
      </c>
      <c r="C32" s="2"/>
      <c r="D32" s="2"/>
      <c r="E32" s="2"/>
      <c r="F32" s="2"/>
      <c r="G32" s="2"/>
      <c r="H32" s="2"/>
      <c r="I32" s="2"/>
      <c r="J32" s="2"/>
      <c r="K32" s="2"/>
    </row>
    <row r="33" customFormat="false" ht="15" hidden="false" customHeight="true" outlineLevel="0" collapsed="false">
      <c r="A33" s="13" t="s">
        <v>494</v>
      </c>
      <c r="B33" s="41" t="n">
        <f aca="false">SUM('SPV Cash Flow'!D46:AZ46)</f>
        <v>3541.27417546339</v>
      </c>
      <c r="C33" s="2"/>
      <c r="D33" s="2"/>
      <c r="E33" s="2"/>
      <c r="F33" s="2"/>
      <c r="G33" s="2"/>
      <c r="H33" s="2"/>
      <c r="I33" s="2"/>
      <c r="J33" s="2"/>
      <c r="K33" s="2"/>
    </row>
    <row r="34" customFormat="false" ht="15" hidden="false" customHeight="true" outlineLevel="0" collapsed="false">
      <c r="A34" s="13" t="s">
        <v>495</v>
      </c>
      <c r="B34" s="41" t="n">
        <f aca="false">-SUM('SPV Cash Flow'!D20:AZ20)</f>
        <v>-0</v>
      </c>
      <c r="C34" s="2"/>
      <c r="D34" s="2"/>
      <c r="E34" s="2"/>
      <c r="F34" s="2"/>
      <c r="G34" s="2"/>
      <c r="H34" s="2"/>
      <c r="I34" s="2"/>
      <c r="J34" s="2"/>
      <c r="K34" s="2"/>
    </row>
    <row r="35" customFormat="false" ht="15" hidden="false" customHeight="true" outlineLevel="0" collapsed="false">
      <c r="A35" s="6" t="s">
        <v>496</v>
      </c>
      <c r="B35" s="21" t="n">
        <f aca="false">NPV(Inputs!$B$175,'SPV Cash Flow'!D46:AZ46)*(1+Inputs!$B$175)-NPV(Inputs!$B$175,'SPV Cash Flow'!D20:AZ20)*(1+Inputs!$B$175)</f>
        <v>177.447994263079</v>
      </c>
      <c r="C35" s="2"/>
      <c r="D35" s="2"/>
      <c r="E35" s="2"/>
      <c r="F35" s="2"/>
      <c r="G35" s="2"/>
      <c r="H35" s="2"/>
      <c r="I35" s="2"/>
      <c r="J35" s="2"/>
      <c r="K35" s="2"/>
    </row>
    <row r="36" customFormat="false" ht="15" hidden="false" customHeight="true" outlineLevel="0" collapsed="false">
      <c r="A36" s="6" t="s">
        <v>497</v>
      </c>
      <c r="B36" s="21" t="n">
        <f aca="false">NPV(Inputs!$B$175,'SPV Cash Flow'!D56:AZ56)*(1+Inputs!$B$175)</f>
        <v>182.113112062658</v>
      </c>
      <c r="C36" s="2"/>
      <c r="D36" s="2"/>
      <c r="E36" s="2"/>
      <c r="F36" s="2"/>
      <c r="G36" s="2"/>
      <c r="H36" s="2"/>
      <c r="I36" s="2"/>
      <c r="J36" s="2"/>
      <c r="K36" s="2"/>
    </row>
    <row r="37" customFormat="false" ht="15" hidden="false" customHeight="true" outlineLevel="0" collapsed="false">
      <c r="A37" s="13" t="s">
        <v>498</v>
      </c>
      <c r="B37" s="24" t="n">
        <f aca="false">B36/Inputs!$B$185</f>
        <v>2.14244708117178</v>
      </c>
      <c r="C37" s="2"/>
      <c r="D37" s="2"/>
      <c r="E37" s="2"/>
      <c r="F37" s="2"/>
      <c r="G37" s="2"/>
      <c r="H37" s="2"/>
      <c r="I37" s="2"/>
      <c r="J37" s="2"/>
      <c r="K37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4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0"/>
    <col collapsed="false" customWidth="true" hidden="false" outlineLevel="0" max="2" min="2" style="1" width="12"/>
    <col collapsed="false" customWidth="true" hidden="false" outlineLevel="0" max="17" min="3" style="1" width="10.51"/>
  </cols>
  <sheetData>
    <row r="1" customFormat="false" ht="15" hidden="false" customHeight="true" outlineLevel="0" collapsed="false">
      <c r="A1" s="55" t="s">
        <v>499</v>
      </c>
    </row>
    <row r="2" customFormat="false" ht="15" hidden="false" customHeight="true" outlineLevel="0" collapsed="false">
      <c r="A2" s="56" t="s">
        <v>500</v>
      </c>
      <c r="B2" s="57" t="s">
        <v>338</v>
      </c>
      <c r="C2" s="57" t="s">
        <v>230</v>
      </c>
      <c r="D2" s="57" t="s">
        <v>231</v>
      </c>
      <c r="E2" s="57" t="s">
        <v>232</v>
      </c>
      <c r="F2" s="57" t="s">
        <v>501</v>
      </c>
      <c r="G2" s="57" t="s">
        <v>502</v>
      </c>
      <c r="H2" s="57" t="s">
        <v>503</v>
      </c>
      <c r="I2" s="57" t="s">
        <v>504</v>
      </c>
      <c r="J2" s="57" t="s">
        <v>505</v>
      </c>
      <c r="K2" s="57" t="s">
        <v>506</v>
      </c>
      <c r="L2" s="57" t="s">
        <v>507</v>
      </c>
      <c r="M2" s="57" t="s">
        <v>508</v>
      </c>
      <c r="N2" s="57" t="s">
        <v>509</v>
      </c>
      <c r="O2" s="57" t="s">
        <v>510</v>
      </c>
      <c r="P2" s="57" t="s">
        <v>511</v>
      </c>
      <c r="Q2" s="57" t="s">
        <v>512</v>
      </c>
    </row>
    <row r="3" customFormat="false" ht="15" hidden="false" customHeight="true" outlineLevel="0" collapsed="false">
      <c r="A3" s="58" t="s">
        <v>513</v>
      </c>
      <c r="C3" s="59" t="s">
        <v>64</v>
      </c>
      <c r="D3" s="59" t="s">
        <v>65</v>
      </c>
      <c r="E3" s="59" t="s">
        <v>66</v>
      </c>
      <c r="F3" s="59" t="s">
        <v>339</v>
      </c>
      <c r="G3" s="59" t="s">
        <v>340</v>
      </c>
      <c r="H3" s="59" t="s">
        <v>341</v>
      </c>
      <c r="I3" s="59" t="s">
        <v>342</v>
      </c>
      <c r="J3" s="59" t="s">
        <v>343</v>
      </c>
      <c r="K3" s="59" t="s">
        <v>344</v>
      </c>
      <c r="L3" s="59" t="s">
        <v>345</v>
      </c>
      <c r="M3" s="59" t="s">
        <v>346</v>
      </c>
      <c r="N3" s="59" t="s">
        <v>347</v>
      </c>
      <c r="O3" s="59" t="s">
        <v>348</v>
      </c>
      <c r="P3" s="59" t="s">
        <v>349</v>
      </c>
      <c r="Q3" s="59" t="s">
        <v>350</v>
      </c>
    </row>
    <row r="4" customFormat="false" ht="15" hidden="false" customHeight="true" outlineLevel="0" collapsed="false">
      <c r="A4" s="60" t="s">
        <v>514</v>
      </c>
    </row>
    <row r="5" customFormat="false" ht="15" hidden="false" customHeight="true" outlineLevel="0" collapsed="false">
      <c r="A5" s="61" t="s">
        <v>515</v>
      </c>
      <c r="C5" s="62" t="n">
        <f aca="false">IF('Comp - Hotel'!D31&gt;0,Inputs!$B$57,0)</f>
        <v>0</v>
      </c>
      <c r="D5" s="62" t="n">
        <f aca="false">IF('Comp - Hotel'!E31&gt;0,Inputs!$B$57,0)</f>
        <v>0</v>
      </c>
      <c r="E5" s="62" t="n">
        <f aca="false">IF('Comp - Hotel'!F31&gt;0,Inputs!$B$57,0)</f>
        <v>0</v>
      </c>
      <c r="F5" s="62" t="n">
        <f aca="false">IF('Comp - Hotel'!G31&gt;0,Inputs!$B$57,0)</f>
        <v>600</v>
      </c>
      <c r="G5" s="62" t="n">
        <f aca="false">IF('Comp - Hotel'!H31&gt;0,Inputs!$B$57,0)</f>
        <v>600</v>
      </c>
      <c r="H5" s="62" t="n">
        <f aca="false">IF('Comp - Hotel'!I31&gt;0,Inputs!$B$57,0)</f>
        <v>600</v>
      </c>
      <c r="I5" s="62" t="n">
        <f aca="false">IF('Comp - Hotel'!J31&gt;0,Inputs!$B$57,0)</f>
        <v>600</v>
      </c>
      <c r="J5" s="62" t="n">
        <f aca="false">IF('Comp - Hotel'!K31&gt;0,Inputs!$B$57,0)</f>
        <v>600</v>
      </c>
      <c r="K5" s="62" t="n">
        <f aca="false">IF('Comp - Hotel'!L31&gt;0,Inputs!$B$57,0)</f>
        <v>600</v>
      </c>
      <c r="L5" s="62" t="n">
        <f aca="false">IF('Comp - Hotel'!M31&gt;0,Inputs!$B$57,0)</f>
        <v>600</v>
      </c>
      <c r="M5" s="62" t="n">
        <f aca="false">IF('Comp - Hotel'!N31&gt;0,Inputs!$B$57,0)</f>
        <v>600</v>
      </c>
      <c r="N5" s="62" t="n">
        <f aca="false">IF('Comp - Hotel'!O31&gt;0,Inputs!$B$57,0)</f>
        <v>600</v>
      </c>
      <c r="O5" s="62" t="n">
        <f aca="false">IF('Comp - Hotel'!P31&gt;0,Inputs!$B$57,0)</f>
        <v>600</v>
      </c>
      <c r="P5" s="62" t="n">
        <f aca="false">IF('Comp - Hotel'!Q31&gt;0,Inputs!$B$57,0)</f>
        <v>600</v>
      </c>
      <c r="Q5" s="62" t="n">
        <f aca="false">IF('Comp - Hotel'!R31&gt;0,Inputs!$B$57,0)</f>
        <v>600</v>
      </c>
    </row>
    <row r="6" customFormat="false" ht="15" hidden="false" customHeight="true" outlineLevel="0" collapsed="false">
      <c r="A6" s="61" t="s">
        <v>516</v>
      </c>
      <c r="C6" s="62" t="n">
        <f aca="false">'Comp - Hotel'!D26</f>
        <v>0</v>
      </c>
      <c r="D6" s="62" t="n">
        <f aca="false">'Comp - Hotel'!E26</f>
        <v>0</v>
      </c>
      <c r="E6" s="62" t="n">
        <f aca="false">'Comp - Hotel'!F26</f>
        <v>0</v>
      </c>
      <c r="F6" s="62" t="n">
        <f aca="false">'Comp - Hotel'!G26</f>
        <v>633.783783783784</v>
      </c>
      <c r="G6" s="62" t="n">
        <f aca="false">'Comp - Hotel'!H26</f>
        <v>647.790405405405</v>
      </c>
      <c r="H6" s="62" t="n">
        <f aca="false">'Comp - Hotel'!I26</f>
        <v>662.106573364865</v>
      </c>
      <c r="I6" s="62" t="n">
        <f aca="false">'Comp - Hotel'!J26</f>
        <v>676.739128636228</v>
      </c>
      <c r="J6" s="62" t="n">
        <f aca="false">'Comp - Hotel'!K26</f>
        <v>691.695063379089</v>
      </c>
      <c r="K6" s="62" t="n">
        <f aca="false">'Comp - Hotel'!L26</f>
        <v>706.981524279767</v>
      </c>
      <c r="L6" s="62" t="n">
        <f aca="false">'Comp - Hotel'!M26</f>
        <v>722.60581596635</v>
      </c>
      <c r="M6" s="62" t="n">
        <f aca="false">'Comp - Hotel'!N26</f>
        <v>738.575404499206</v>
      </c>
      <c r="N6" s="62" t="n">
        <f aca="false">'Comp - Hotel'!O26</f>
        <v>754.897920938638</v>
      </c>
      <c r="O6" s="62" t="n">
        <f aca="false">'Comp - Hotel'!P26</f>
        <v>771.581164991383</v>
      </c>
      <c r="P6" s="62" t="n">
        <f aca="false">'Comp - Hotel'!Q26</f>
        <v>788.633108737692</v>
      </c>
      <c r="Q6" s="62" t="n">
        <f aca="false">'Comp - Hotel'!R26</f>
        <v>806.061900440795</v>
      </c>
    </row>
    <row r="7" customFormat="false" ht="15" hidden="false" customHeight="true" outlineLevel="0" collapsed="false">
      <c r="A7" s="61" t="s">
        <v>517</v>
      </c>
      <c r="C7" s="63" t="n">
        <f aca="false">'Comp - Hotel'!D27</f>
        <v>0</v>
      </c>
      <c r="D7" s="63" t="n">
        <f aca="false">'Comp - Hotel'!E27</f>
        <v>0</v>
      </c>
      <c r="E7" s="63" t="n">
        <f aca="false">'Comp - Hotel'!F27</f>
        <v>0</v>
      </c>
      <c r="F7" s="63" t="n">
        <f aca="false">'Comp - Hotel'!G27</f>
        <v>0.558083333333333</v>
      </c>
      <c r="G7" s="63" t="n">
        <f aca="false">'Comp - Hotel'!H27</f>
        <v>0.587066666666667</v>
      </c>
      <c r="H7" s="63" t="n">
        <f aca="false">'Comp - Hotel'!I27</f>
        <v>0.616666666666667</v>
      </c>
      <c r="I7" s="63" t="n">
        <f aca="false">'Comp - Hotel'!J27</f>
        <v>0.616666666666667</v>
      </c>
      <c r="J7" s="63" t="n">
        <f aca="false">'Comp - Hotel'!K27</f>
        <v>0.616666666666667</v>
      </c>
      <c r="K7" s="63" t="n">
        <f aca="false">'Comp - Hotel'!L27</f>
        <v>0.616666666666667</v>
      </c>
      <c r="L7" s="63" t="n">
        <f aca="false">'Comp - Hotel'!M27</f>
        <v>0.616666666666667</v>
      </c>
      <c r="M7" s="63" t="n">
        <f aca="false">'Comp - Hotel'!N27</f>
        <v>0.616666666666667</v>
      </c>
      <c r="N7" s="63" t="n">
        <f aca="false">'Comp - Hotel'!O27</f>
        <v>0.616666666666667</v>
      </c>
      <c r="O7" s="63" t="n">
        <f aca="false">'Comp - Hotel'!P27</f>
        <v>0.616666666666667</v>
      </c>
      <c r="P7" s="63" t="n">
        <f aca="false">'Comp - Hotel'!Q27</f>
        <v>0.616666666666667</v>
      </c>
      <c r="Q7" s="63" t="n">
        <f aca="false">'Comp - Hotel'!R27</f>
        <v>0.616666666666667</v>
      </c>
    </row>
    <row r="8" customFormat="false" ht="15" hidden="false" customHeight="true" outlineLevel="0" collapsed="false">
      <c r="A8" s="61" t="s">
        <v>518</v>
      </c>
      <c r="C8" s="62" t="n">
        <f aca="false">'Comp - Centre'!D34</f>
        <v>0</v>
      </c>
      <c r="D8" s="62" t="n">
        <f aca="false">'Comp - Centre'!E34</f>
        <v>0</v>
      </c>
      <c r="E8" s="62" t="n">
        <f aca="false">'Comp - Centre'!F34</f>
        <v>1135.11043412034</v>
      </c>
      <c r="F8" s="62" t="n">
        <f aca="false">'Comp - Centre'!G34</f>
        <v>1162.62360614349</v>
      </c>
      <c r="G8" s="62" t="n">
        <f aca="false">'Comp - Centre'!H34</f>
        <v>1182.9158110883</v>
      </c>
      <c r="H8" s="62" t="n">
        <f aca="false">'Comp - Centre'!I34</f>
        <v>1204.60293373799</v>
      </c>
      <c r="I8" s="62" t="n">
        <f aca="false">'Comp - Centre'!J34</f>
        <v>1245.05244409262</v>
      </c>
      <c r="J8" s="62" t="n">
        <f aca="false">'Comp - Centre'!K34</f>
        <v>1285.14468208652</v>
      </c>
      <c r="K8" s="62" t="n">
        <f aca="false">'Comp - Centre'!L34</f>
        <v>1331.93865959864</v>
      </c>
      <c r="L8" s="62" t="n">
        <f aca="false">'Comp - Centre'!M34</f>
        <v>1381.81818181818</v>
      </c>
      <c r="M8" s="62" t="n">
        <f aca="false">'Comp - Centre'!N34</f>
        <v>1417.29289271163</v>
      </c>
      <c r="N8" s="62" t="n">
        <f aca="false">'Comp - Centre'!O34</f>
        <v>1450.54896405171</v>
      </c>
      <c r="O8" s="62" t="n">
        <f aca="false">'Comp - Centre'!P34</f>
        <v>1481.15151515152</v>
      </c>
      <c r="P8" s="62" t="n">
        <f aca="false">'Comp - Centre'!Q34</f>
        <v>1514.52036237406</v>
      </c>
      <c r="Q8" s="62" t="n">
        <f aca="false">'Comp - Centre'!R34</f>
        <v>1549.30043877804</v>
      </c>
    </row>
    <row r="9" customFormat="false" ht="15" hidden="false" customHeight="true" outlineLevel="0" collapsed="false">
      <c r="A9" s="61" t="s">
        <v>519</v>
      </c>
      <c r="C9" s="62" t="n">
        <f aca="false">'Comp - Centre'!D33</f>
        <v>0</v>
      </c>
      <c r="D9" s="62" t="n">
        <f aca="false">'Comp - Centre'!E33</f>
        <v>0</v>
      </c>
      <c r="E9" s="62" t="n">
        <f aca="false">'Comp - Centre'!F33</f>
        <v>91.91</v>
      </c>
      <c r="F9" s="62" t="n">
        <f aca="false">'Comp - Centre'!G33</f>
        <v>95.06</v>
      </c>
      <c r="G9" s="62" t="n">
        <f aca="false">'Comp - Centre'!H33</f>
        <v>97.4</v>
      </c>
      <c r="H9" s="62" t="n">
        <f aca="false">'Comp - Centre'!I33</f>
        <v>98.85</v>
      </c>
      <c r="I9" s="62" t="n">
        <f aca="false">'Comp - Centre'!J33</f>
        <v>101.06</v>
      </c>
      <c r="J9" s="62" t="n">
        <f aca="false">'Comp - Centre'!K33</f>
        <v>103.33</v>
      </c>
      <c r="K9" s="62" t="n">
        <f aca="false">'Comp - Centre'!L33</f>
        <v>105.64</v>
      </c>
      <c r="L9" s="62" t="n">
        <f aca="false">'Comp - Centre'!M33</f>
        <v>108.02</v>
      </c>
      <c r="M9" s="62" t="n">
        <f aca="false">'Comp - Centre'!N33</f>
        <v>110.45</v>
      </c>
      <c r="N9" s="62" t="n">
        <f aca="false">'Comp - Centre'!O33</f>
        <v>112.94</v>
      </c>
      <c r="O9" s="62" t="n">
        <f aca="false">'Comp - Centre'!P33</f>
        <v>115.5</v>
      </c>
      <c r="P9" s="62" t="n">
        <f aca="false">'Comp - Centre'!Q33</f>
        <v>118.11</v>
      </c>
      <c r="Q9" s="62" t="n">
        <f aca="false">'Comp - Centre'!R33</f>
        <v>120.79</v>
      </c>
    </row>
    <row r="10" customFormat="false" ht="15" hidden="false" customHeight="true" outlineLevel="0" collapsed="false">
      <c r="A10" s="61" t="s">
        <v>520</v>
      </c>
      <c r="C10" s="62" t="n">
        <f aca="false">IF('Comp - Retail'!D31&gt;0,Inputs!$B$199,0)</f>
        <v>0</v>
      </c>
      <c r="D10" s="62" t="n">
        <f aca="false">IF('Comp - Retail'!E31&gt;0,Inputs!$B$199,0)</f>
        <v>0</v>
      </c>
      <c r="E10" s="62" t="n">
        <f aca="false">IF('Comp - Retail'!F31&gt;0,Inputs!$B$199,0)</f>
        <v>38597</v>
      </c>
      <c r="F10" s="62" t="n">
        <f aca="false">IF('Comp - Retail'!G31&gt;0,Inputs!$B$199,0)</f>
        <v>38597</v>
      </c>
      <c r="G10" s="62" t="n">
        <f aca="false">IF('Comp - Retail'!H31&gt;0,Inputs!$B$199,0)</f>
        <v>38597</v>
      </c>
      <c r="H10" s="62" t="n">
        <f aca="false">IF('Comp - Retail'!I31&gt;0,Inputs!$B$199,0)</f>
        <v>38597</v>
      </c>
      <c r="I10" s="62" t="n">
        <f aca="false">IF('Comp - Retail'!J31&gt;0,Inputs!$B$199,0)</f>
        <v>38597</v>
      </c>
      <c r="J10" s="62" t="n">
        <f aca="false">IF('Comp - Retail'!K31&gt;0,Inputs!$B$199,0)</f>
        <v>38597</v>
      </c>
      <c r="K10" s="62" t="n">
        <f aca="false">IF('Comp - Retail'!L31&gt;0,Inputs!$B$199,0)</f>
        <v>38597</v>
      </c>
      <c r="L10" s="62" t="n">
        <f aca="false">IF('Comp - Retail'!M31&gt;0,Inputs!$B$199,0)</f>
        <v>38597</v>
      </c>
      <c r="M10" s="62" t="n">
        <f aca="false">IF('Comp - Retail'!N31&gt;0,Inputs!$B$199,0)</f>
        <v>38597</v>
      </c>
      <c r="N10" s="62" t="n">
        <f aca="false">IF('Comp - Retail'!O31&gt;0,Inputs!$B$199,0)</f>
        <v>38597</v>
      </c>
      <c r="O10" s="62" t="n">
        <f aca="false">IF('Comp - Retail'!P31&gt;0,Inputs!$B$199,0)</f>
        <v>38597</v>
      </c>
      <c r="P10" s="62" t="n">
        <f aca="false">IF('Comp - Retail'!Q31&gt;0,Inputs!$B$199,0)</f>
        <v>38597</v>
      </c>
      <c r="Q10" s="62" t="n">
        <f aca="false">IF('Comp - Retail'!R31&gt;0,Inputs!$B$199,0)</f>
        <v>38597</v>
      </c>
    </row>
    <row r="11" customFormat="false" ht="15" hidden="false" customHeight="true" outlineLevel="0" collapsed="false">
      <c r="A11" s="61" t="s">
        <v>521</v>
      </c>
      <c r="C11" s="63" t="n">
        <f aca="false">'Comp - Retail'!D32</f>
        <v>0</v>
      </c>
      <c r="D11" s="63" t="n">
        <f aca="false">'Comp - Retail'!E32</f>
        <v>0</v>
      </c>
      <c r="E11" s="63" t="n">
        <f aca="false">'Comp - Retail'!F32</f>
        <v>0.5</v>
      </c>
      <c r="F11" s="63" t="n">
        <f aca="false">'Comp - Retail'!G32</f>
        <v>0.5</v>
      </c>
      <c r="G11" s="63" t="n">
        <f aca="false">'Comp - Retail'!H32</f>
        <v>0.7</v>
      </c>
      <c r="H11" s="63" t="n">
        <f aca="false">'Comp - Retail'!I32</f>
        <v>0.92</v>
      </c>
      <c r="I11" s="63" t="n">
        <f aca="false">'Comp - Retail'!J32</f>
        <v>0.92</v>
      </c>
      <c r="J11" s="63" t="n">
        <f aca="false">'Comp - Retail'!K32</f>
        <v>0.92</v>
      </c>
      <c r="K11" s="63" t="n">
        <f aca="false">'Comp - Retail'!L32</f>
        <v>0.92</v>
      </c>
      <c r="L11" s="63" t="n">
        <f aca="false">'Comp - Retail'!M32</f>
        <v>0.92</v>
      </c>
      <c r="M11" s="63" t="n">
        <f aca="false">'Comp - Retail'!N32</f>
        <v>0.92</v>
      </c>
      <c r="N11" s="63" t="n">
        <f aca="false">'Comp - Retail'!O32</f>
        <v>0.92</v>
      </c>
      <c r="O11" s="63" t="n">
        <f aca="false">'Comp - Retail'!P32</f>
        <v>0.92</v>
      </c>
      <c r="P11" s="63" t="n">
        <f aca="false">'Comp - Retail'!Q32</f>
        <v>0.92</v>
      </c>
      <c r="Q11" s="63" t="n">
        <f aca="false">'Comp - Retail'!R32</f>
        <v>0.92</v>
      </c>
    </row>
    <row r="12" customFormat="false" ht="15" hidden="false" customHeight="true" outlineLevel="0" collapsed="false">
      <c r="A12" s="61" t="s">
        <v>522</v>
      </c>
      <c r="C12" s="62" t="n">
        <f aca="false">'Comp - Retail'!D34</f>
        <v>0</v>
      </c>
      <c r="D12" s="62" t="n">
        <f aca="false">'Comp - Retail'!E34</f>
        <v>0</v>
      </c>
      <c r="E12" s="62" t="n">
        <f aca="false">'Comp - Retail'!F34</f>
        <v>1914.1055809732</v>
      </c>
      <c r="F12" s="62" t="n">
        <f aca="false">'Comp - Retail'!G34</f>
        <v>1914.1055809732</v>
      </c>
      <c r="G12" s="62" t="n">
        <f aca="false">'Comp - Retail'!H34</f>
        <v>1783.77032566041</v>
      </c>
      <c r="H12" s="62" t="n">
        <f aca="false">'Comp - Retail'!I34</f>
        <v>1652.20393234764</v>
      </c>
      <c r="I12" s="62" t="n">
        <f aca="false">'Comp - Retail'!J34</f>
        <v>1652.20393234764</v>
      </c>
      <c r="J12" s="62" t="n">
        <f aca="false">'Comp - Retail'!K34</f>
        <v>1652.20393234764</v>
      </c>
      <c r="K12" s="62" t="n">
        <f aca="false">'Comp - Retail'!L34</f>
        <v>1817.42432558241</v>
      </c>
      <c r="L12" s="62" t="n">
        <f aca="false">'Comp - Retail'!M34</f>
        <v>1817.42432558241</v>
      </c>
      <c r="M12" s="62" t="n">
        <f aca="false">'Comp - Retail'!N34</f>
        <v>1817.42432558241</v>
      </c>
      <c r="N12" s="62" t="n">
        <f aca="false">'Comp - Retail'!O34</f>
        <v>1999.16675814065</v>
      </c>
      <c r="O12" s="62" t="n">
        <f aca="false">'Comp - Retail'!P34</f>
        <v>1999.16675814065</v>
      </c>
      <c r="P12" s="62" t="n">
        <f aca="false">'Comp - Retail'!Q34</f>
        <v>1999.16675814065</v>
      </c>
      <c r="Q12" s="62" t="n">
        <f aca="false">'Comp - Retail'!R34</f>
        <v>2199.08343395471</v>
      </c>
    </row>
    <row r="14" customFormat="false" ht="15" hidden="false" customHeight="true" outlineLevel="0" collapsed="false">
      <c r="A14" s="60" t="s">
        <v>523</v>
      </c>
    </row>
    <row r="15" customFormat="false" ht="15" hidden="false" customHeight="true" outlineLevel="0" collapsed="false">
      <c r="A15" s="64" t="s">
        <v>524</v>
      </c>
      <c r="B15" s="65" t="n">
        <f aca="false">SUM(C15:Q15)</f>
        <v>592852.847355367</v>
      </c>
      <c r="C15" s="66" t="n">
        <f aca="false">'Comp - Retail'!D37*1000</f>
        <v>0</v>
      </c>
      <c r="D15" s="66" t="n">
        <f aca="false">'Comp - Retail'!E37*1000</f>
        <v>0</v>
      </c>
      <c r="E15" s="66" t="n">
        <f aca="false">'Comp - Retail'!F37*1000</f>
        <v>4214.08377824137</v>
      </c>
      <c r="F15" s="66" t="n">
        <f aca="false">'Comp - Retail'!G37*1000</f>
        <v>26083.1643812582</v>
      </c>
      <c r="G15" s="66" t="n">
        <f aca="false">'Comp - Retail'!H37*1000</f>
        <v>36742.7645864444</v>
      </c>
      <c r="H15" s="66" t="n">
        <f aca="false">'Comp - Retail'!I37*1000</f>
        <v>46641.1192260444</v>
      </c>
      <c r="I15" s="66" t="n">
        <f aca="false">'Comp - Retail'!J37*1000</f>
        <v>46386.3426635444</v>
      </c>
      <c r="J15" s="66" t="n">
        <f aca="false">'Comp - Retail'!K37*1000</f>
        <v>46125.1966869819</v>
      </c>
      <c r="K15" s="66" t="n">
        <f aca="false">'Comp - Retail'!L37*1000</f>
        <v>51540.7402336098</v>
      </c>
      <c r="L15" s="66" t="n">
        <f aca="false">'Comp - Retail'!M37*1000</f>
        <v>51266.3737419838</v>
      </c>
      <c r="M15" s="66" t="n">
        <f aca="false">'Comp - Retail'!N37*1000</f>
        <v>50985.1480880672</v>
      </c>
      <c r="N15" s="66" t="n">
        <f aca="false">'Comp - Retail'!O37*1000</f>
        <v>56948.4317826676</v>
      </c>
      <c r="O15" s="66" t="n">
        <f aca="false">'Comp - Retail'!P37*1000</f>
        <v>56652.9690800214</v>
      </c>
      <c r="P15" s="66" t="n">
        <f aca="false">'Comp - Retail'!Q37*1000</f>
        <v>56350.1198098091</v>
      </c>
      <c r="Q15" s="66" t="n">
        <f aca="false">'Comp - Retail'!R37*1000</f>
        <v>62916.3932966929</v>
      </c>
    </row>
    <row r="16" customFormat="false" ht="15" hidden="false" customHeight="true" outlineLevel="0" collapsed="false">
      <c r="A16" s="64" t="s">
        <v>525</v>
      </c>
      <c r="B16" s="65" t="n">
        <f aca="false">SUM(C16:Q16)</f>
        <v>663289.116411804</v>
      </c>
      <c r="C16" s="66" t="n">
        <f aca="false">'Comp - Centre'!D38*1000</f>
        <v>0</v>
      </c>
      <c r="D16" s="66" t="n">
        <f aca="false">'Comp - Centre'!E38*1000</f>
        <v>0</v>
      </c>
      <c r="E16" s="66" t="n">
        <f aca="false">'Comp - Centre'!F38*1000</f>
        <v>7251</v>
      </c>
      <c r="F16" s="66" t="n">
        <f aca="false">'Comp - Centre'!G38*1000</f>
        <v>34928</v>
      </c>
      <c r="G16" s="66" t="n">
        <f aca="false">'Comp - Centre'!H38*1000</f>
        <v>37411.75</v>
      </c>
      <c r="H16" s="66" t="n">
        <f aca="false">'Comp - Centre'!I38*1000</f>
        <v>39212.21875</v>
      </c>
      <c r="I16" s="66" t="n">
        <f aca="false">'Comp - Centre'!J38*1000</f>
        <v>42964.37421875</v>
      </c>
      <c r="J16" s="66" t="n">
        <f aca="false">'Comp - Centre'!K38*1000</f>
        <v>46946.1835742188</v>
      </c>
      <c r="K16" s="66" t="n">
        <f aca="false">'Comp - Centre'!L38*1000</f>
        <v>51538.6131635742</v>
      </c>
      <c r="L16" s="66" t="n">
        <f aca="false">'Comp - Centre'!M38*1000</f>
        <v>56583.6284926636</v>
      </c>
      <c r="M16" s="66" t="n">
        <f aca="false">'Comp - Centre'!N38*1000</f>
        <v>60793.1942049802</v>
      </c>
      <c r="N16" s="66" t="n">
        <f aca="false">'Comp - Centre'!O38*1000</f>
        <v>64932.2740601047</v>
      </c>
      <c r="O16" s="66" t="n">
        <f aca="false">'Comp - Centre'!P38*1000</f>
        <v>69028.8309116073</v>
      </c>
      <c r="P16" s="66" t="n">
        <f aca="false">'Comp - Centre'!Q38*1000</f>
        <v>73474.8266843975</v>
      </c>
      <c r="Q16" s="66" t="n">
        <f aca="false">'Comp - Centre'!R38*1000</f>
        <v>78224.2223515074</v>
      </c>
    </row>
    <row r="17" customFormat="false" ht="15" hidden="false" customHeight="true" outlineLevel="0" collapsed="false">
      <c r="A17" s="64" t="s">
        <v>526</v>
      </c>
      <c r="B17" s="65" t="n">
        <f aca="false">SUM(C17:Q17)</f>
        <v>484915.222180296</v>
      </c>
      <c r="C17" s="66" t="n">
        <f aca="false">'Comp - Hotel'!D36*1000</f>
        <v>0</v>
      </c>
      <c r="D17" s="66" t="n">
        <f aca="false">'Comp - Hotel'!E36*1000</f>
        <v>0</v>
      </c>
      <c r="E17" s="66" t="n">
        <f aca="false">'Comp - Hotel'!F36*1000</f>
        <v>0</v>
      </c>
      <c r="F17" s="66" t="n">
        <f aca="false">'Comp - Hotel'!G36*1000</f>
        <v>15633.4188105516</v>
      </c>
      <c r="G17" s="66" t="n">
        <f aca="false">'Comp - Hotel'!H36*1000</f>
        <v>35363.1100934426</v>
      </c>
      <c r="H17" s="66" t="n">
        <f aca="false">'Comp - Hotel'!I36*1000</f>
        <v>39249.3474096753</v>
      </c>
      <c r="I17" s="66" t="n">
        <f aca="false">'Comp - Hotel'!J36*1000</f>
        <v>40116.7579874291</v>
      </c>
      <c r="J17" s="66" t="n">
        <f aca="false">'Comp - Hotel'!K36*1000</f>
        <v>41003.3383389513</v>
      </c>
      <c r="K17" s="66" t="n">
        <f aca="false">'Comp - Hotel'!L36*1000</f>
        <v>41909.5121162421</v>
      </c>
      <c r="L17" s="66" t="n">
        <f aca="false">'Comp - Hotel'!M36*1000</f>
        <v>42835.7123340111</v>
      </c>
      <c r="M17" s="66" t="n">
        <f aca="false">'Comp - Hotel'!N36*1000</f>
        <v>43782.3815765927</v>
      </c>
      <c r="N17" s="66" t="n">
        <f aca="false">'Comp - Hotel'!O36*1000</f>
        <v>44749.9722094354</v>
      </c>
      <c r="O17" s="66" t="n">
        <f aca="false">'Comp - Hotel'!P36*1000</f>
        <v>45738.9465952639</v>
      </c>
      <c r="P17" s="66" t="n">
        <f aca="false">'Comp - Hotel'!Q36*1000</f>
        <v>46749.7773150193</v>
      </c>
      <c r="Q17" s="66" t="n">
        <f aca="false">'Comp - Hotel'!R36*1000</f>
        <v>47782.9473936812</v>
      </c>
    </row>
    <row r="18" customFormat="false" ht="15" hidden="false" customHeight="true" outlineLevel="0" collapsed="false">
      <c r="A18" s="61" t="s">
        <v>527</v>
      </c>
      <c r="B18" s="65" t="n">
        <f aca="false">SUM(C18:Q18)</f>
        <v>-30467.1705</v>
      </c>
      <c r="C18" s="62" t="n">
        <f aca="false">'SPV Cash Flow'!D21*1000</f>
        <v>-0</v>
      </c>
      <c r="D18" s="62" t="n">
        <f aca="false">'SPV Cash Flow'!E21*1000</f>
        <v>-0</v>
      </c>
      <c r="E18" s="62" t="n">
        <f aca="false">'SPV Cash Flow'!F21*1000</f>
        <v>-1792.1865</v>
      </c>
      <c r="F18" s="62" t="n">
        <f aca="false">'SPV Cash Flow'!G21*1000</f>
        <v>-2389.582</v>
      </c>
      <c r="G18" s="62" t="n">
        <f aca="false">'SPV Cash Flow'!H21*1000</f>
        <v>-2389.582</v>
      </c>
      <c r="H18" s="62" t="n">
        <f aca="false">'SPV Cash Flow'!I21*1000</f>
        <v>-2389.582</v>
      </c>
      <c r="I18" s="62" t="n">
        <f aca="false">'SPV Cash Flow'!J21*1000</f>
        <v>-2389.582</v>
      </c>
      <c r="J18" s="62" t="n">
        <f aca="false">'SPV Cash Flow'!K21*1000</f>
        <v>-2389.582</v>
      </c>
      <c r="K18" s="62" t="n">
        <f aca="false">'SPV Cash Flow'!L21*1000</f>
        <v>-2389.582</v>
      </c>
      <c r="L18" s="62" t="n">
        <f aca="false">'SPV Cash Flow'!M21*1000</f>
        <v>-2389.582</v>
      </c>
      <c r="M18" s="62" t="n">
        <f aca="false">'SPV Cash Flow'!N21*1000</f>
        <v>-2389.582</v>
      </c>
      <c r="N18" s="62" t="n">
        <f aca="false">'SPV Cash Flow'!O21*1000</f>
        <v>-2389.582</v>
      </c>
      <c r="O18" s="62" t="n">
        <f aca="false">'SPV Cash Flow'!P21*1000</f>
        <v>-2389.582</v>
      </c>
      <c r="P18" s="62" t="n">
        <f aca="false">'SPV Cash Flow'!Q21*1000</f>
        <v>-2389.582</v>
      </c>
      <c r="Q18" s="62" t="n">
        <f aca="false">'SPV Cash Flow'!R21*1000</f>
        <v>-2389.582</v>
      </c>
    </row>
    <row r="19" customFormat="false" ht="15" hidden="false" customHeight="true" outlineLevel="0" collapsed="false">
      <c r="A19" s="61" t="s">
        <v>528</v>
      </c>
      <c r="B19" s="65" t="n">
        <f aca="false">SUM(C19:Q19)</f>
        <v>-77271.712269814</v>
      </c>
      <c r="C19" s="62" t="n">
        <f aca="false">'SPV Cash Flow'!D22*1000</f>
        <v>-0</v>
      </c>
      <c r="D19" s="62" t="n">
        <f aca="false">'SPV Cash Flow'!E22*1000</f>
        <v>-0</v>
      </c>
      <c r="E19" s="62" t="n">
        <f aca="false">'SPV Cash Flow'!F22*1000</f>
        <v>-706.336832772056</v>
      </c>
      <c r="F19" s="62" t="n">
        <f aca="false">'SPV Cash Flow'!G22*1000</f>
        <v>-3877.9588478748</v>
      </c>
      <c r="G19" s="62" t="n">
        <f aca="false">'SPV Cash Flow'!H22*1000</f>
        <v>-5265.4333600217</v>
      </c>
      <c r="H19" s="62" t="n">
        <f aca="false">'SPV Cash Flow'!I22*1000</f>
        <v>-5699.17450133806</v>
      </c>
      <c r="I19" s="62" t="n">
        <f aca="false">'SPV Cash Flow'!J22*1000</f>
        <v>-5881.56362818213</v>
      </c>
      <c r="J19" s="62" t="n">
        <f aca="false">'SPV Cash Flow'!K22*1000</f>
        <v>-6069.38005472945</v>
      </c>
      <c r="K19" s="62" t="n">
        <f aca="false">'SPV Cash Flow'!L22*1000</f>
        <v>-6394.46393822882</v>
      </c>
      <c r="L19" s="62" t="n">
        <f aca="false">'SPV Cash Flow'!M22*1000</f>
        <v>-6616.22491166462</v>
      </c>
      <c r="M19" s="62" t="n">
        <f aca="false">'SPV Cash Flow'!N22*1000</f>
        <v>-6813.46416661336</v>
      </c>
      <c r="N19" s="62" t="n">
        <f aca="false">'SPV Cash Flow'!O22*1000</f>
        <v>-7141.09713021435</v>
      </c>
      <c r="O19" s="62" t="n">
        <f aca="false">'SPV Cash Flow'!P22*1000</f>
        <v>-7340.08763643313</v>
      </c>
      <c r="P19" s="62" t="n">
        <f aca="false">'SPV Cash Flow'!Q22*1000</f>
        <v>-7551.45221683934</v>
      </c>
      <c r="Q19" s="62" t="n">
        <f aca="false">'SPV Cash Flow'!R22*1000</f>
        <v>-7915.07504490221</v>
      </c>
    </row>
    <row r="20" customFormat="false" ht="15" hidden="false" customHeight="true" outlineLevel="0" collapsed="false">
      <c r="A20" s="61" t="s">
        <v>529</v>
      </c>
      <c r="B20" s="65" t="n">
        <f aca="false">SUM(C20:Q20)</f>
        <v>0</v>
      </c>
      <c r="C20" s="62" t="n">
        <f aca="false">'SPV Cash Flow'!D20*1000</f>
        <v>-0</v>
      </c>
      <c r="D20" s="62" t="n">
        <f aca="false">'SPV Cash Flow'!E20*1000</f>
        <v>-0</v>
      </c>
      <c r="E20" s="62" t="n">
        <f aca="false">'SPV Cash Flow'!F20*1000</f>
        <v>-0</v>
      </c>
      <c r="F20" s="62" t="n">
        <f aca="false">'SPV Cash Flow'!G20*1000</f>
        <v>-0</v>
      </c>
      <c r="G20" s="62" t="n">
        <f aca="false">'SPV Cash Flow'!H20*1000</f>
        <v>-0</v>
      </c>
      <c r="H20" s="62" t="n">
        <f aca="false">'SPV Cash Flow'!I20*1000</f>
        <v>-0</v>
      </c>
      <c r="I20" s="62" t="n">
        <f aca="false">'SPV Cash Flow'!J20*1000</f>
        <v>-0</v>
      </c>
      <c r="J20" s="62" t="n">
        <f aca="false">'SPV Cash Flow'!K20*1000</f>
        <v>-0</v>
      </c>
      <c r="K20" s="62" t="n">
        <f aca="false">'SPV Cash Flow'!L20*1000</f>
        <v>-0</v>
      </c>
      <c r="L20" s="62" t="n">
        <f aca="false">'SPV Cash Flow'!M20*1000</f>
        <v>-0</v>
      </c>
      <c r="M20" s="62" t="n">
        <f aca="false">'SPV Cash Flow'!N20*1000</f>
        <v>-0</v>
      </c>
      <c r="N20" s="62" t="n">
        <f aca="false">'SPV Cash Flow'!O20*1000</f>
        <v>-0</v>
      </c>
      <c r="O20" s="62" t="n">
        <f aca="false">'SPV Cash Flow'!P20*1000</f>
        <v>-0</v>
      </c>
      <c r="P20" s="62" t="n">
        <f aca="false">'SPV Cash Flow'!Q20*1000</f>
        <v>-0</v>
      </c>
      <c r="Q20" s="62" t="n">
        <f aca="false">'SPV Cash Flow'!R20*1000</f>
        <v>-0</v>
      </c>
    </row>
    <row r="21" customFormat="false" ht="15" hidden="false" customHeight="true" outlineLevel="0" collapsed="false">
      <c r="A21" s="61" t="s">
        <v>530</v>
      </c>
      <c r="B21" s="65" t="n">
        <f aca="false">SUM(C21:Q21)</f>
        <v>-168365.08063213</v>
      </c>
      <c r="C21" s="62" t="n">
        <f aca="false">('SPV Cash Flow'!D18+'SPV Cash Flow'!D19)*1000</f>
        <v>-0</v>
      </c>
      <c r="D21" s="62" t="n">
        <f aca="false">('SPV Cash Flow'!E18+'SPV Cash Flow'!E19)*1000</f>
        <v>-0</v>
      </c>
      <c r="E21" s="62" t="n">
        <f aca="false">('SPV Cash Flow'!F18+'SPV Cash Flow'!F19)*1000</f>
        <v>-5750</v>
      </c>
      <c r="F21" s="62" t="n">
        <f aca="false">('SPV Cash Flow'!G18+'SPV Cash Flow'!G19)*1000</f>
        <v>-11787.5</v>
      </c>
      <c r="G21" s="62" t="n">
        <f aca="false">('SPV Cash Flow'!H18+'SPV Cash Flow'!H19)*1000</f>
        <v>-12082.1875</v>
      </c>
      <c r="H21" s="62" t="n">
        <f aca="false">('SPV Cash Flow'!I18+'SPV Cash Flow'!I19)*1000</f>
        <v>-12384.2421875</v>
      </c>
      <c r="I21" s="62" t="n">
        <f aca="false">('SPV Cash Flow'!J18+'SPV Cash Flow'!J19)*1000</f>
        <v>-12693.8482421875</v>
      </c>
      <c r="J21" s="62" t="n">
        <f aca="false">('SPV Cash Flow'!K18+'SPV Cash Flow'!K19)*1000</f>
        <v>-13011.1944482422</v>
      </c>
      <c r="K21" s="62" t="n">
        <f aca="false">('SPV Cash Flow'!L18+'SPV Cash Flow'!L19)*1000</f>
        <v>-13336.4743094482</v>
      </c>
      <c r="L21" s="62" t="n">
        <f aca="false">('SPV Cash Flow'!M18+'SPV Cash Flow'!M19)*1000</f>
        <v>-13669.8861671844</v>
      </c>
      <c r="M21" s="62" t="n">
        <f aca="false">('SPV Cash Flow'!N18+'SPV Cash Flow'!N19)*1000</f>
        <v>-14011.633321364</v>
      </c>
      <c r="N21" s="62" t="n">
        <f aca="false">('SPV Cash Flow'!O18+'SPV Cash Flow'!O19)*1000</f>
        <v>-14361.9241543982</v>
      </c>
      <c r="O21" s="62" t="n">
        <f aca="false">('SPV Cash Flow'!P18+'SPV Cash Flow'!P19)*1000</f>
        <v>-14720.9722582581</v>
      </c>
      <c r="P21" s="62" t="n">
        <f aca="false">('SPV Cash Flow'!Q18+'SPV Cash Flow'!Q19)*1000</f>
        <v>-15088.9965647146</v>
      </c>
      <c r="Q21" s="62" t="n">
        <f aca="false">('SPV Cash Flow'!R18+'SPV Cash Flow'!R19)*1000</f>
        <v>-15466.2214788324</v>
      </c>
    </row>
    <row r="22" customFormat="false" ht="15" hidden="false" customHeight="true" outlineLevel="0" collapsed="false">
      <c r="A22" s="67" t="s">
        <v>531</v>
      </c>
      <c r="B22" s="68" t="n">
        <f aca="false">SUM(C22:Q22)</f>
        <v>1464953.22254552</v>
      </c>
      <c r="C22" s="68" t="n">
        <f aca="false">SUM(C15:C21)</f>
        <v>0</v>
      </c>
      <c r="D22" s="68" t="n">
        <f aca="false">SUM(D15:D21)</f>
        <v>0</v>
      </c>
      <c r="E22" s="68" t="n">
        <f aca="false">SUM(E15:E21)</f>
        <v>3216.56044546932</v>
      </c>
      <c r="F22" s="68" t="n">
        <f aca="false">SUM(F15:F21)</f>
        <v>58589.542343935</v>
      </c>
      <c r="G22" s="68" t="n">
        <f aca="false">SUM(G15:G21)</f>
        <v>89780.4218198653</v>
      </c>
      <c r="H22" s="68" t="n">
        <f aca="false">SUM(H15:H21)</f>
        <v>104629.686696882</v>
      </c>
      <c r="I22" s="68" t="n">
        <f aca="false">SUM(I15:I21)</f>
        <v>108502.480999354</v>
      </c>
      <c r="J22" s="68" t="n">
        <f aca="false">SUM(J15:J21)</f>
        <v>112604.56209718</v>
      </c>
      <c r="K22" s="68" t="n">
        <f aca="false">SUM(K15:K21)</f>
        <v>122868.345265749</v>
      </c>
      <c r="L22" s="68" t="n">
        <f aca="false">SUM(L15:L21)</f>
        <v>128010.021489809</v>
      </c>
      <c r="M22" s="68" t="n">
        <f aca="false">SUM(M15:M21)</f>
        <v>132346.044381663</v>
      </c>
      <c r="N22" s="68" t="n">
        <f aca="false">SUM(N15:N21)</f>
        <v>142738.074767595</v>
      </c>
      <c r="O22" s="68" t="n">
        <f aca="false">SUM(O15:O21)</f>
        <v>146970.104692201</v>
      </c>
      <c r="P22" s="68" t="n">
        <f aca="false">SUM(P15:P21)</f>
        <v>151544.693027672</v>
      </c>
      <c r="Q22" s="68" t="n">
        <f aca="false">SUM(Q15:Q21)</f>
        <v>163152.684518147</v>
      </c>
    </row>
    <row r="24" customFormat="false" ht="15" hidden="false" customHeight="true" outlineLevel="0" collapsed="false">
      <c r="A24" s="60" t="s">
        <v>7</v>
      </c>
    </row>
    <row r="25" customFormat="false" ht="15" hidden="false" customHeight="true" outlineLevel="0" collapsed="false">
      <c r="A25" s="69" t="s">
        <v>532</v>
      </c>
      <c r="B25" s="65" t="n">
        <f aca="false">SUM(C25:Q25)</f>
        <v>110224.4</v>
      </c>
      <c r="C25" s="70" t="n">
        <f aca="false">(Capex!D6)*1000</f>
        <v>14170.5926640818</v>
      </c>
      <c r="D25" s="70" t="n">
        <f aca="false">(Capex!E6)*1000</f>
        <v>56999.0085714018</v>
      </c>
      <c r="E25" s="70" t="n">
        <f aca="false">(Capex!F6)*1000</f>
        <v>26850.1741506051</v>
      </c>
      <c r="F25" s="70" t="n">
        <f aca="false">(Capex!G6)*1000</f>
        <v>12204.6246139114</v>
      </c>
      <c r="G25" s="70" t="n">
        <f aca="false">(Capex!H6)*1000</f>
        <v>0</v>
      </c>
      <c r="H25" s="70" t="n">
        <f aca="false">(Capex!I6)*1000</f>
        <v>0</v>
      </c>
      <c r="I25" s="70" t="n">
        <f aca="false">(Capex!J6)*1000</f>
        <v>0</v>
      </c>
      <c r="J25" s="70" t="n">
        <f aca="false">(Capex!K6)*1000</f>
        <v>0</v>
      </c>
      <c r="K25" s="70" t="n">
        <f aca="false">(Capex!L6)*1000</f>
        <v>0</v>
      </c>
      <c r="L25" s="70" t="n">
        <f aca="false">(Capex!M6)*1000</f>
        <v>0</v>
      </c>
      <c r="M25" s="70" t="n">
        <f aca="false">(Capex!N6)*1000</f>
        <v>0</v>
      </c>
      <c r="N25" s="70" t="n">
        <f aca="false">(Capex!O6)*1000</f>
        <v>0</v>
      </c>
      <c r="O25" s="70" t="n">
        <f aca="false">(Capex!P6)*1000</f>
        <v>0</v>
      </c>
      <c r="P25" s="70" t="n">
        <f aca="false">(Capex!Q6)*1000</f>
        <v>0</v>
      </c>
      <c r="Q25" s="70" t="n">
        <f aca="false">(Capex!R6)*1000</f>
        <v>0</v>
      </c>
    </row>
    <row r="26" customFormat="false" ht="15" hidden="false" customHeight="true" outlineLevel="0" collapsed="false">
      <c r="A26" s="69" t="s">
        <v>533</v>
      </c>
      <c r="B26" s="65" t="n">
        <f aca="false">SUM(C26:Q26)</f>
        <v>101745.6</v>
      </c>
      <c r="C26" s="70" t="n">
        <f aca="false">(Capex!D7)*1000</f>
        <v>0</v>
      </c>
      <c r="D26" s="70" t="n">
        <f aca="false">(Capex!E7)*1000</f>
        <v>40235.1850385948</v>
      </c>
      <c r="E26" s="70" t="n">
        <f aca="false">(Capex!F7)*1000</f>
        <v>50244.607625487</v>
      </c>
      <c r="F26" s="70" t="n">
        <f aca="false">(Capex!G7)*1000</f>
        <v>11265.8073359182</v>
      </c>
      <c r="G26" s="70" t="n">
        <f aca="false">(Capex!H7)*1000</f>
        <v>0</v>
      </c>
      <c r="H26" s="70" t="n">
        <f aca="false">(Capex!I7)*1000</f>
        <v>0</v>
      </c>
      <c r="I26" s="70" t="n">
        <f aca="false">(Capex!J7)*1000</f>
        <v>0</v>
      </c>
      <c r="J26" s="70" t="n">
        <f aca="false">(Capex!K7)*1000</f>
        <v>0</v>
      </c>
      <c r="K26" s="70" t="n">
        <f aca="false">(Capex!L7)*1000</f>
        <v>0</v>
      </c>
      <c r="L26" s="70" t="n">
        <f aca="false">(Capex!M7)*1000</f>
        <v>0</v>
      </c>
      <c r="M26" s="70" t="n">
        <f aca="false">(Capex!N7)*1000</f>
        <v>0</v>
      </c>
      <c r="N26" s="70" t="n">
        <f aca="false">(Capex!O7)*1000</f>
        <v>0</v>
      </c>
      <c r="O26" s="70" t="n">
        <f aca="false">(Capex!P7)*1000</f>
        <v>0</v>
      </c>
      <c r="P26" s="70" t="n">
        <f aca="false">(Capex!Q7)*1000</f>
        <v>0</v>
      </c>
      <c r="Q26" s="70" t="n">
        <f aca="false">(Capex!R7)*1000</f>
        <v>0</v>
      </c>
    </row>
    <row r="27" customFormat="false" ht="15" hidden="false" customHeight="true" outlineLevel="0" collapsed="false">
      <c r="A27" s="69" t="s">
        <v>534</v>
      </c>
      <c r="B27" s="65" t="n">
        <f aca="false">SUM(C27:Q27)</f>
        <v>70000</v>
      </c>
      <c r="C27" s="70" t="n">
        <f aca="false">(Capex!D8)*1000</f>
        <v>0</v>
      </c>
      <c r="D27" s="70" t="n">
        <f aca="false">(Capex!E8)*1000</f>
        <v>32859.0872818423</v>
      </c>
      <c r="E27" s="70" t="n">
        <f aca="false">(Capex!F8)*1000</f>
        <v>30569.1917722054</v>
      </c>
      <c r="F27" s="70" t="n">
        <f aca="false">(Capex!G8)*1000</f>
        <v>6571.72094595229</v>
      </c>
      <c r="G27" s="70" t="n">
        <f aca="false">(Capex!H8)*1000</f>
        <v>0</v>
      </c>
      <c r="H27" s="70" t="n">
        <f aca="false">(Capex!I8)*1000</f>
        <v>0</v>
      </c>
      <c r="I27" s="70" t="n">
        <f aca="false">(Capex!J8)*1000</f>
        <v>0</v>
      </c>
      <c r="J27" s="70" t="n">
        <f aca="false">(Capex!K8)*1000</f>
        <v>0</v>
      </c>
      <c r="K27" s="70" t="n">
        <f aca="false">(Capex!L8)*1000</f>
        <v>0</v>
      </c>
      <c r="L27" s="70" t="n">
        <f aca="false">(Capex!M8)*1000</f>
        <v>0</v>
      </c>
      <c r="M27" s="70" t="n">
        <f aca="false">(Capex!N8)*1000</f>
        <v>0</v>
      </c>
      <c r="N27" s="70" t="n">
        <f aca="false">(Capex!O8)*1000</f>
        <v>0</v>
      </c>
      <c r="O27" s="70" t="n">
        <f aca="false">(Capex!P8)*1000</f>
        <v>0</v>
      </c>
      <c r="P27" s="70" t="n">
        <f aca="false">(Capex!Q8)*1000</f>
        <v>0</v>
      </c>
      <c r="Q27" s="70" t="n">
        <f aca="false">(Capex!R8)*1000</f>
        <v>0</v>
      </c>
    </row>
    <row r="28" customFormat="false" ht="15" hidden="false" customHeight="true" outlineLevel="0" collapsed="false">
      <c r="A28" s="69" t="s">
        <v>535</v>
      </c>
      <c r="B28" s="65" t="n">
        <f aca="false">SUM(C28:Q28)</f>
        <v>65100</v>
      </c>
      <c r="C28" s="70" t="n">
        <f aca="false">(Capex!D9)*1000</f>
        <v>1686.07733976736</v>
      </c>
      <c r="D28" s="70" t="n">
        <f aca="false">(Capex!E9)*1000</f>
        <v>24622.7099899547</v>
      </c>
      <c r="E28" s="70" t="n">
        <f aca="false">(Capex!F9)*1000</f>
        <v>32679.5121905424</v>
      </c>
      <c r="F28" s="70" t="n">
        <f aca="false">(Capex!G9)*1000</f>
        <v>6111.70047973563</v>
      </c>
      <c r="G28" s="70" t="n">
        <f aca="false">(Capex!H9)*1000</f>
        <v>0</v>
      </c>
      <c r="H28" s="70" t="n">
        <f aca="false">(Capex!I9)*1000</f>
        <v>0</v>
      </c>
      <c r="I28" s="70" t="n">
        <f aca="false">(Capex!J9)*1000</f>
        <v>0</v>
      </c>
      <c r="J28" s="70" t="n">
        <f aca="false">(Capex!K9)*1000</f>
        <v>0</v>
      </c>
      <c r="K28" s="70" t="n">
        <f aca="false">(Capex!L9)*1000</f>
        <v>0</v>
      </c>
      <c r="L28" s="70" t="n">
        <f aca="false">(Capex!M9)*1000</f>
        <v>0</v>
      </c>
      <c r="M28" s="70" t="n">
        <f aca="false">(Capex!N9)*1000</f>
        <v>0</v>
      </c>
      <c r="N28" s="70" t="n">
        <f aca="false">(Capex!O9)*1000</f>
        <v>0</v>
      </c>
      <c r="O28" s="70" t="n">
        <f aca="false">(Capex!P9)*1000</f>
        <v>0</v>
      </c>
      <c r="P28" s="70" t="n">
        <f aca="false">(Capex!Q9)*1000</f>
        <v>0</v>
      </c>
      <c r="Q28" s="70" t="n">
        <f aca="false">(Capex!R9)*1000</f>
        <v>0</v>
      </c>
    </row>
    <row r="29" customFormat="false" ht="15" hidden="false" customHeight="true" outlineLevel="0" collapsed="false">
      <c r="A29" s="69" t="s">
        <v>536</v>
      </c>
      <c r="B29" s="65" t="n">
        <f aca="false">SUM(C29:Q29)</f>
        <v>35000</v>
      </c>
      <c r="C29" s="70" t="n">
        <f aca="false">(Capex!D10)*1000</f>
        <v>0</v>
      </c>
      <c r="D29" s="70" t="n">
        <f aca="false">(Capex!E10)*1000</f>
        <v>7000</v>
      </c>
      <c r="E29" s="70" t="n">
        <f aca="false">(Capex!F10)*1000</f>
        <v>19250</v>
      </c>
      <c r="F29" s="70" t="n">
        <f aca="false">(Capex!G10)*1000</f>
        <v>8750</v>
      </c>
      <c r="G29" s="70" t="n">
        <f aca="false">(Capex!H10)*1000</f>
        <v>0</v>
      </c>
      <c r="H29" s="70" t="n">
        <f aca="false">(Capex!I10)*1000</f>
        <v>0</v>
      </c>
      <c r="I29" s="70" t="n">
        <f aca="false">(Capex!J10)*1000</f>
        <v>0</v>
      </c>
      <c r="J29" s="70" t="n">
        <f aca="false">(Capex!K10)*1000</f>
        <v>0</v>
      </c>
      <c r="K29" s="70" t="n">
        <f aca="false">(Capex!L10)*1000</f>
        <v>0</v>
      </c>
      <c r="L29" s="70" t="n">
        <f aca="false">(Capex!M10)*1000</f>
        <v>0</v>
      </c>
      <c r="M29" s="70" t="n">
        <f aca="false">(Capex!N10)*1000</f>
        <v>0</v>
      </c>
      <c r="N29" s="70" t="n">
        <f aca="false">(Capex!O10)*1000</f>
        <v>0</v>
      </c>
      <c r="O29" s="70" t="n">
        <f aca="false">(Capex!P10)*1000</f>
        <v>0</v>
      </c>
      <c r="P29" s="70" t="n">
        <f aca="false">(Capex!Q10)*1000</f>
        <v>0</v>
      </c>
      <c r="Q29" s="70" t="n">
        <f aca="false">(Capex!R10)*1000</f>
        <v>0</v>
      </c>
    </row>
    <row r="30" customFormat="false" ht="15" hidden="false" customHeight="true" outlineLevel="0" collapsed="false">
      <c r="A30" s="69" t="s">
        <v>537</v>
      </c>
      <c r="B30" s="65" t="n">
        <f aca="false">SUM(C30:Q30)</f>
        <v>60000</v>
      </c>
      <c r="C30" s="70" t="n">
        <f aca="false">(Capex!D11)*1000</f>
        <v>0</v>
      </c>
      <c r="D30" s="70" t="n">
        <f aca="false">(Capex!E11)*1000</f>
        <v>21800</v>
      </c>
      <c r="E30" s="70" t="n">
        <f aca="false">(Capex!F11)*1000</f>
        <v>38200</v>
      </c>
      <c r="F30" s="70" t="n">
        <f aca="false">(Capex!G11)*1000</f>
        <v>0</v>
      </c>
      <c r="G30" s="70" t="n">
        <f aca="false">(Capex!H11)*1000</f>
        <v>0</v>
      </c>
      <c r="H30" s="70" t="n">
        <f aca="false">(Capex!I11)*1000</f>
        <v>0</v>
      </c>
      <c r="I30" s="70" t="n">
        <f aca="false">(Capex!J11)*1000</f>
        <v>0</v>
      </c>
      <c r="J30" s="70" t="n">
        <f aca="false">(Capex!K11)*1000</f>
        <v>0</v>
      </c>
      <c r="K30" s="70" t="n">
        <f aca="false">(Capex!L11)*1000</f>
        <v>0</v>
      </c>
      <c r="L30" s="70" t="n">
        <f aca="false">(Capex!M11)*1000</f>
        <v>0</v>
      </c>
      <c r="M30" s="70" t="n">
        <f aca="false">(Capex!N11)*1000</f>
        <v>0</v>
      </c>
      <c r="N30" s="70" t="n">
        <f aca="false">(Capex!O11)*1000</f>
        <v>0</v>
      </c>
      <c r="O30" s="70" t="n">
        <f aca="false">(Capex!P11)*1000</f>
        <v>0</v>
      </c>
      <c r="P30" s="70" t="n">
        <f aca="false">(Capex!Q11)*1000</f>
        <v>0</v>
      </c>
      <c r="Q30" s="70" t="n">
        <f aca="false">(Capex!R11)*1000</f>
        <v>0</v>
      </c>
    </row>
    <row r="31" customFormat="false" ht="15" hidden="false" customHeight="true" outlineLevel="0" collapsed="false">
      <c r="A31" s="69" t="s">
        <v>538</v>
      </c>
      <c r="B31" s="65" t="n">
        <f aca="false">SUM(C31:Q31)</f>
        <v>15000</v>
      </c>
      <c r="C31" s="70" t="n">
        <f aca="false">(Capex!D12+Capex!D13)*1000</f>
        <v>1311.39348648573</v>
      </c>
      <c r="D31" s="70" t="n">
        <f aca="false">(Capex!E12+Capex!E13)*1000</f>
        <v>6996.62776833745</v>
      </c>
      <c r="E31" s="70" t="n">
        <f aca="false">(Capex!F12+Capex!F13)*1000</f>
        <v>5283.75282818705</v>
      </c>
      <c r="F31" s="70" t="n">
        <f aca="false">(Capex!G12+Capex!G13)*1000</f>
        <v>1408.22591698978</v>
      </c>
      <c r="G31" s="70" t="n">
        <f aca="false">(Capex!H12+Capex!H13)*1000</f>
        <v>0</v>
      </c>
      <c r="H31" s="70" t="n">
        <f aca="false">(Capex!I12+Capex!I13)*1000</f>
        <v>0</v>
      </c>
      <c r="I31" s="70" t="n">
        <f aca="false">(Capex!J12+Capex!J13)*1000</f>
        <v>0</v>
      </c>
      <c r="J31" s="70" t="n">
        <f aca="false">(Capex!K12+Capex!K13)*1000</f>
        <v>0</v>
      </c>
      <c r="K31" s="70" t="n">
        <f aca="false">(Capex!L12+Capex!L13)*1000</f>
        <v>0</v>
      </c>
      <c r="L31" s="70" t="n">
        <f aca="false">(Capex!M12+Capex!M13)*1000</f>
        <v>0</v>
      </c>
      <c r="M31" s="70" t="n">
        <f aca="false">(Capex!N12+Capex!N13)*1000</f>
        <v>0</v>
      </c>
      <c r="N31" s="70" t="n">
        <f aca="false">(Capex!O12+Capex!O13)*1000</f>
        <v>0</v>
      </c>
      <c r="O31" s="70" t="n">
        <f aca="false">(Capex!P12+Capex!P13)*1000</f>
        <v>0</v>
      </c>
      <c r="P31" s="70" t="n">
        <f aca="false">(Capex!Q12+Capex!Q13)*1000</f>
        <v>0</v>
      </c>
      <c r="Q31" s="70" t="n">
        <f aca="false">(Capex!R12+Capex!R13)*1000</f>
        <v>0</v>
      </c>
    </row>
    <row r="32" customFormat="false" ht="15" hidden="false" customHeight="true" outlineLevel="0" collapsed="false">
      <c r="A32" s="69" t="s">
        <v>539</v>
      </c>
      <c r="B32" s="65" t="n">
        <f aca="false">SUM(C32:Q32)</f>
        <v>28000</v>
      </c>
      <c r="C32" s="70" t="n">
        <f aca="false">(Capex!D14+Capex!D15+Capex!D16)*1000</f>
        <v>11053.1736718083</v>
      </c>
      <c r="D32" s="70" t="n">
        <f aca="false">(Capex!E14+Capex!E15+Capex!E16)*1000</f>
        <v>7098.73541312654</v>
      </c>
      <c r="E32" s="70" t="n">
        <f aca="false">(Capex!F14+Capex!F15+Capex!F16)*1000</f>
        <v>7219.40253668429</v>
      </c>
      <c r="F32" s="70" t="n">
        <f aca="false">(Capex!G14+Capex!G15+Capex!G16)*1000</f>
        <v>2628.68837838092</v>
      </c>
      <c r="G32" s="70" t="n">
        <f aca="false">(Capex!H14+Capex!H15+Capex!H16)*1000</f>
        <v>0</v>
      </c>
      <c r="H32" s="70" t="n">
        <f aca="false">(Capex!I14+Capex!I15+Capex!I16)*1000</f>
        <v>0</v>
      </c>
      <c r="I32" s="70" t="n">
        <f aca="false">(Capex!J14+Capex!J15+Capex!J16)*1000</f>
        <v>0</v>
      </c>
      <c r="J32" s="70" t="n">
        <f aca="false">(Capex!K14+Capex!K15+Capex!K16)*1000</f>
        <v>0</v>
      </c>
      <c r="K32" s="70" t="n">
        <f aca="false">(Capex!L14+Capex!L15+Capex!L16)*1000</f>
        <v>0</v>
      </c>
      <c r="L32" s="70" t="n">
        <f aca="false">(Capex!M14+Capex!M15+Capex!M16)*1000</f>
        <v>0</v>
      </c>
      <c r="M32" s="70" t="n">
        <f aca="false">(Capex!N14+Capex!N15+Capex!N16)*1000</f>
        <v>0</v>
      </c>
      <c r="N32" s="70" t="n">
        <f aca="false">(Capex!O14+Capex!O15+Capex!O16)*1000</f>
        <v>0</v>
      </c>
      <c r="O32" s="70" t="n">
        <f aca="false">(Capex!P14+Capex!P15+Capex!P16)*1000</f>
        <v>0</v>
      </c>
      <c r="P32" s="70" t="n">
        <f aca="false">(Capex!Q14+Capex!Q15+Capex!Q16)*1000</f>
        <v>0</v>
      </c>
      <c r="Q32" s="70" t="n">
        <f aca="false">(Capex!R14+Capex!R15+Capex!R16)*1000</f>
        <v>0</v>
      </c>
    </row>
    <row r="33" customFormat="false" ht="15" hidden="false" customHeight="true" outlineLevel="0" collapsed="false">
      <c r="A33" s="69" t="s">
        <v>540</v>
      </c>
      <c r="B33" s="65" t="n">
        <f aca="false">SUM(C33:Q33)</f>
        <v>12000</v>
      </c>
      <c r="C33" s="70" t="n">
        <f aca="false">(Capex!D17+Capex!D18)*1000</f>
        <v>562.025779922454</v>
      </c>
      <c r="D33" s="70" t="n">
        <f aca="false">(Capex!E17+Capex!E18)*1000</f>
        <v>2774.68385328164</v>
      </c>
      <c r="E33" s="70" t="n">
        <f aca="false">(Capex!F17+Capex!F18)*1000</f>
        <v>7536.70963320409</v>
      </c>
      <c r="F33" s="70" t="n">
        <f aca="false">(Capex!G17+Capex!G18)*1000</f>
        <v>1126.58073359182</v>
      </c>
      <c r="G33" s="70" t="n">
        <f aca="false">(Capex!H17+Capex!H18)*1000</f>
        <v>0</v>
      </c>
      <c r="H33" s="70" t="n">
        <f aca="false">(Capex!I17+Capex!I18)*1000</f>
        <v>0</v>
      </c>
      <c r="I33" s="70" t="n">
        <f aca="false">(Capex!J17+Capex!J18)*1000</f>
        <v>0</v>
      </c>
      <c r="J33" s="70" t="n">
        <f aca="false">(Capex!K17+Capex!K18)*1000</f>
        <v>0</v>
      </c>
      <c r="K33" s="70" t="n">
        <f aca="false">(Capex!L17+Capex!L18)*1000</f>
        <v>0</v>
      </c>
      <c r="L33" s="70" t="n">
        <f aca="false">(Capex!M17+Capex!M18)*1000</f>
        <v>0</v>
      </c>
      <c r="M33" s="70" t="n">
        <f aca="false">(Capex!N17+Capex!N18)*1000</f>
        <v>0</v>
      </c>
      <c r="N33" s="70" t="n">
        <f aca="false">(Capex!O17+Capex!O18)*1000</f>
        <v>0</v>
      </c>
      <c r="O33" s="70" t="n">
        <f aca="false">(Capex!P17+Capex!P18)*1000</f>
        <v>0</v>
      </c>
      <c r="P33" s="70" t="n">
        <f aca="false">(Capex!Q17+Capex!Q18)*1000</f>
        <v>0</v>
      </c>
      <c r="Q33" s="70" t="n">
        <f aca="false">(Capex!R17+Capex!R18)*1000</f>
        <v>0</v>
      </c>
    </row>
    <row r="34" customFormat="false" ht="15" hidden="false" customHeight="true" outlineLevel="0" collapsed="false">
      <c r="A34" s="69" t="s">
        <v>541</v>
      </c>
      <c r="B34" s="65" t="n">
        <f aca="false">SUM(C34:Q34)</f>
        <v>53030</v>
      </c>
      <c r="C34" s="70" t="n">
        <f aca="false">(Capex!D27)*1000</f>
        <v>0</v>
      </c>
      <c r="D34" s="70" t="n">
        <f aca="false">(Capex!E27)*1000</f>
        <v>2475.2</v>
      </c>
      <c r="E34" s="70" t="n">
        <f aca="false">(Capex!F27)*1000</f>
        <v>30639.3</v>
      </c>
      <c r="F34" s="70" t="n">
        <f aca="false">(Capex!G27)*1000</f>
        <v>19915.5</v>
      </c>
      <c r="G34" s="70" t="n">
        <f aca="false">(Capex!H27)*1000</f>
        <v>0</v>
      </c>
      <c r="H34" s="70" t="n">
        <f aca="false">(Capex!I27)*1000</f>
        <v>0</v>
      </c>
      <c r="I34" s="70" t="n">
        <f aca="false">(Capex!J27)*1000</f>
        <v>0</v>
      </c>
      <c r="J34" s="70" t="n">
        <f aca="false">(Capex!K27)*1000</f>
        <v>0</v>
      </c>
      <c r="K34" s="70" t="n">
        <f aca="false">(Capex!L27)*1000</f>
        <v>0</v>
      </c>
      <c r="L34" s="70" t="n">
        <f aca="false">(Capex!M27)*1000</f>
        <v>0</v>
      </c>
      <c r="M34" s="70" t="n">
        <f aca="false">(Capex!N27)*1000</f>
        <v>0</v>
      </c>
      <c r="N34" s="70" t="n">
        <f aca="false">(Capex!O27)*1000</f>
        <v>0</v>
      </c>
      <c r="O34" s="70" t="n">
        <f aca="false">(Capex!P27)*1000</f>
        <v>0</v>
      </c>
      <c r="P34" s="70" t="n">
        <f aca="false">(Capex!Q27)*1000</f>
        <v>0</v>
      </c>
      <c r="Q34" s="70" t="n">
        <f aca="false">(Capex!R27)*1000</f>
        <v>0</v>
      </c>
    </row>
    <row r="35" customFormat="false" ht="15" hidden="false" customHeight="true" outlineLevel="0" collapsed="false">
      <c r="A35" s="64" t="s">
        <v>542</v>
      </c>
      <c r="B35" s="65" t="n">
        <f aca="false">SUM(C35:Q35)</f>
        <v>550100</v>
      </c>
      <c r="C35" s="68" t="n">
        <f aca="false">SUM(C25:C34)</f>
        <v>28783.2629420656</v>
      </c>
      <c r="D35" s="68" t="n">
        <f aca="false">SUM(D25:D34)</f>
        <v>202861.237916539</v>
      </c>
      <c r="E35" s="68" t="n">
        <f aca="false">SUM(E25:E34)</f>
        <v>248472.650736915</v>
      </c>
      <c r="F35" s="68" t="n">
        <f aca="false">SUM(F25:F34)</f>
        <v>69982.84840448</v>
      </c>
      <c r="G35" s="68" t="n">
        <f aca="false">SUM(G25:G34)</f>
        <v>0</v>
      </c>
      <c r="H35" s="68" t="n">
        <f aca="false">SUM(H25:H34)</f>
        <v>0</v>
      </c>
      <c r="I35" s="68" t="n">
        <f aca="false">SUM(I25:I34)</f>
        <v>0</v>
      </c>
      <c r="J35" s="68" t="n">
        <f aca="false">SUM(J25:J34)</f>
        <v>0</v>
      </c>
      <c r="K35" s="68" t="n">
        <f aca="false">SUM(K25:K34)</f>
        <v>0</v>
      </c>
      <c r="L35" s="68" t="n">
        <f aca="false">SUM(L25:L34)</f>
        <v>0</v>
      </c>
      <c r="M35" s="68" t="n">
        <f aca="false">SUM(M25:M34)</f>
        <v>0</v>
      </c>
      <c r="N35" s="68" t="n">
        <f aca="false">SUM(N25:N34)</f>
        <v>0</v>
      </c>
      <c r="O35" s="68" t="n">
        <f aca="false">SUM(O25:O34)</f>
        <v>0</v>
      </c>
      <c r="P35" s="68" t="n">
        <f aca="false">SUM(P25:P34)</f>
        <v>0</v>
      </c>
      <c r="Q35" s="68" t="n">
        <f aca="false">SUM(Q25:Q34)</f>
        <v>0</v>
      </c>
    </row>
    <row r="37" customFormat="false" ht="15" hidden="false" customHeight="true" outlineLevel="0" collapsed="false">
      <c r="A37" s="64" t="s">
        <v>543</v>
      </c>
      <c r="B37" s="65" t="n">
        <f aca="false">SUM(C37:Q37)</f>
        <v>914853.222545522</v>
      </c>
      <c r="C37" s="65" t="n">
        <f aca="false">C22-C35</f>
        <v>-28783.2629420656</v>
      </c>
      <c r="D37" s="65" t="n">
        <f aca="false">D22-D35</f>
        <v>-202861.237916539</v>
      </c>
      <c r="E37" s="65" t="n">
        <f aca="false">E22-E35</f>
        <v>-245256.090291446</v>
      </c>
      <c r="F37" s="65" t="n">
        <f aca="false">F22-F35</f>
        <v>-11393.3060605451</v>
      </c>
      <c r="G37" s="65" t="n">
        <f aca="false">G22-G35</f>
        <v>89780.4218198653</v>
      </c>
      <c r="H37" s="65" t="n">
        <f aca="false">H22-H35</f>
        <v>104629.686696882</v>
      </c>
      <c r="I37" s="65" t="n">
        <f aca="false">I22-I35</f>
        <v>108502.480999354</v>
      </c>
      <c r="J37" s="65" t="n">
        <f aca="false">J22-J35</f>
        <v>112604.56209718</v>
      </c>
      <c r="K37" s="65" t="n">
        <f aca="false">K22-K35</f>
        <v>122868.345265749</v>
      </c>
      <c r="L37" s="65" t="n">
        <f aca="false">L22-L35</f>
        <v>128010.021489809</v>
      </c>
      <c r="M37" s="65" t="n">
        <f aca="false">M22-M35</f>
        <v>132346.044381663</v>
      </c>
      <c r="N37" s="65" t="n">
        <f aca="false">N22-N35</f>
        <v>142738.074767595</v>
      </c>
      <c r="O37" s="65" t="n">
        <f aca="false">O22-O35</f>
        <v>146970.104692201</v>
      </c>
      <c r="P37" s="65" t="n">
        <f aca="false">P22-P35</f>
        <v>151544.693027672</v>
      </c>
      <c r="Q37" s="65" t="n">
        <f aca="false">Q22-Q35</f>
        <v>163152.684518147</v>
      </c>
    </row>
    <row r="38" customFormat="false" ht="15" hidden="false" customHeight="true" outlineLevel="0" collapsed="false">
      <c r="A38" s="69" t="s">
        <v>544</v>
      </c>
      <c r="B38" s="65" t="n">
        <f aca="false">SUM(C38:Q38)</f>
        <v>1588376.16041888</v>
      </c>
      <c r="C38" s="70" t="n">
        <f aca="false">IF(2026=2040,'SPV Cash Flow'!S23/Inputs!$B$197*(1-(1+Inputs!$B$197)^-(Inputs!$B$55-2040))*1000,0)</f>
        <v>0</v>
      </c>
      <c r="D38" s="70" t="n">
        <f aca="false">IF(2027=2040,'SPV Cash Flow'!S23/Inputs!$B$197*(1-(1+Inputs!$B$197)^-(Inputs!$B$55-2040))*1000,0)</f>
        <v>0</v>
      </c>
      <c r="E38" s="70" t="n">
        <f aca="false">IF(2028=2040,'SPV Cash Flow'!S23/Inputs!$B$197*(1-(1+Inputs!$B$197)^-(Inputs!$B$55-2040))*1000,0)</f>
        <v>0</v>
      </c>
      <c r="F38" s="70" t="n">
        <f aca="false">IF(2029=2040,'SPV Cash Flow'!S23/Inputs!$B$197*(1-(1+Inputs!$B$197)^-(Inputs!$B$55-2040))*1000,0)</f>
        <v>0</v>
      </c>
      <c r="G38" s="70" t="n">
        <f aca="false">IF(2030=2040,'SPV Cash Flow'!S23/Inputs!$B$197*(1-(1+Inputs!$B$197)^-(Inputs!$B$55-2040))*1000,0)</f>
        <v>0</v>
      </c>
      <c r="H38" s="70" t="n">
        <f aca="false">IF(2031=2040,'SPV Cash Flow'!S23/Inputs!$B$197*(1-(1+Inputs!$B$197)^-(Inputs!$B$55-2040))*1000,0)</f>
        <v>0</v>
      </c>
      <c r="I38" s="70" t="n">
        <f aca="false">IF(2032=2040,'SPV Cash Flow'!S23/Inputs!$B$197*(1-(1+Inputs!$B$197)^-(Inputs!$B$55-2040))*1000,0)</f>
        <v>0</v>
      </c>
      <c r="J38" s="70" t="n">
        <f aca="false">IF(2033=2040,'SPV Cash Flow'!S23/Inputs!$B$197*(1-(1+Inputs!$B$197)^-(Inputs!$B$55-2040))*1000,0)</f>
        <v>0</v>
      </c>
      <c r="K38" s="70" t="n">
        <f aca="false">IF(2034=2040,'SPV Cash Flow'!S23/Inputs!$B$197*(1-(1+Inputs!$B$197)^-(Inputs!$B$55-2040))*1000,0)</f>
        <v>0</v>
      </c>
      <c r="L38" s="70" t="n">
        <f aca="false">IF(2035=2040,'SPV Cash Flow'!S23/Inputs!$B$197*(1-(1+Inputs!$B$197)^-(Inputs!$B$55-2040))*1000,0)</f>
        <v>0</v>
      </c>
      <c r="M38" s="70" t="n">
        <f aca="false">IF(2036=2040,'SPV Cash Flow'!S23/Inputs!$B$197*(1-(1+Inputs!$B$197)^-(Inputs!$B$55-2040))*1000,0)</f>
        <v>0</v>
      </c>
      <c r="N38" s="70" t="n">
        <f aca="false">IF(2037=2040,'SPV Cash Flow'!S23/Inputs!$B$197*(1-(1+Inputs!$B$197)^-(Inputs!$B$55-2040))*1000,0)</f>
        <v>0</v>
      </c>
      <c r="O38" s="70" t="n">
        <f aca="false">IF(2038=2040,'SPV Cash Flow'!S23/Inputs!$B$197*(1-(1+Inputs!$B$197)^-(Inputs!$B$55-2040))*1000,0)</f>
        <v>0</v>
      </c>
      <c r="P38" s="70" t="n">
        <f aca="false">IF(2039=2040,'SPV Cash Flow'!S23/Inputs!$B$197*(1-(1+Inputs!$B$197)^-(Inputs!$B$55-2040))*1000,0)</f>
        <v>0</v>
      </c>
      <c r="Q38" s="70" t="n">
        <f aca="false">IF(2040=2040,'SPV Cash Flow'!S23/Inputs!$B$197*(1-(1+Inputs!$B$197)^-(Inputs!$B$55-2040))*1000,0)</f>
        <v>1588376.16041888</v>
      </c>
    </row>
    <row r="39" customFormat="false" ht="15" hidden="false" customHeight="true" outlineLevel="0" collapsed="false">
      <c r="A39" s="64" t="s">
        <v>545</v>
      </c>
      <c r="B39" s="65" t="n">
        <f aca="false">SUM(C39:Q39)</f>
        <v>2503229.38296441</v>
      </c>
      <c r="C39" s="68" t="n">
        <f aca="false">C37+C38</f>
        <v>-28783.2629420656</v>
      </c>
      <c r="D39" s="68" t="n">
        <f aca="false">D37+D38</f>
        <v>-202861.237916539</v>
      </c>
      <c r="E39" s="68" t="n">
        <f aca="false">E37+E38</f>
        <v>-245256.090291446</v>
      </c>
      <c r="F39" s="68" t="n">
        <f aca="false">F37+F38</f>
        <v>-11393.3060605451</v>
      </c>
      <c r="G39" s="68" t="n">
        <f aca="false">G37+G38</f>
        <v>89780.4218198653</v>
      </c>
      <c r="H39" s="68" t="n">
        <f aca="false">H37+H38</f>
        <v>104629.686696882</v>
      </c>
      <c r="I39" s="68" t="n">
        <f aca="false">I37+I38</f>
        <v>108502.480999354</v>
      </c>
      <c r="J39" s="68" t="n">
        <f aca="false">J37+J38</f>
        <v>112604.56209718</v>
      </c>
      <c r="K39" s="68" t="n">
        <f aca="false">K37+K38</f>
        <v>122868.345265749</v>
      </c>
      <c r="L39" s="68" t="n">
        <f aca="false">L37+L38</f>
        <v>128010.021489809</v>
      </c>
      <c r="M39" s="68" t="n">
        <f aca="false">M37+M38</f>
        <v>132346.044381663</v>
      </c>
      <c r="N39" s="68" t="n">
        <f aca="false">N37+N38</f>
        <v>142738.074767595</v>
      </c>
      <c r="O39" s="68" t="n">
        <f aca="false">O37+O38</f>
        <v>146970.104692201</v>
      </c>
      <c r="P39" s="68" t="n">
        <f aca="false">P37+P38</f>
        <v>151544.693027672</v>
      </c>
      <c r="Q39" s="68" t="n">
        <f aca="false">Q37+Q38</f>
        <v>1751528.84493703</v>
      </c>
    </row>
    <row r="40" customFormat="false" ht="15" hidden="false" customHeight="true" outlineLevel="0" collapsed="false">
      <c r="A40" s="71" t="s">
        <v>546</v>
      </c>
      <c r="B40" s="72" t="n">
        <f aca="false">IRR(C39:Q39)</f>
        <v>0.214836385431496</v>
      </c>
    </row>
    <row r="42" customFormat="false" ht="15" hidden="false" customHeight="true" outlineLevel="0" collapsed="false">
      <c r="A42" s="73" t="s">
        <v>547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4"/>
    <col collapsed="false" customWidth="true" hidden="false" outlineLevel="0" max="2" min="2" style="1" width="12"/>
    <col collapsed="false" customWidth="true" hidden="false" outlineLevel="0" max="17" min="3" style="1" width="10.51"/>
  </cols>
  <sheetData>
    <row r="1" customFormat="false" ht="15" hidden="false" customHeight="true" outlineLevel="0" collapsed="false">
      <c r="A1" s="55" t="s">
        <v>548</v>
      </c>
    </row>
    <row r="2" customFormat="false" ht="15" hidden="false" customHeight="true" outlineLevel="0" collapsed="false">
      <c r="A2" s="56" t="s">
        <v>500</v>
      </c>
      <c r="B2" s="57" t="s">
        <v>338</v>
      </c>
      <c r="C2" s="57" t="s">
        <v>230</v>
      </c>
      <c r="D2" s="57" t="s">
        <v>231</v>
      </c>
      <c r="E2" s="57" t="s">
        <v>232</v>
      </c>
      <c r="F2" s="57" t="s">
        <v>501</v>
      </c>
      <c r="G2" s="57" t="s">
        <v>502</v>
      </c>
      <c r="H2" s="57" t="s">
        <v>503</v>
      </c>
      <c r="I2" s="57" t="s">
        <v>504</v>
      </c>
      <c r="J2" s="57" t="s">
        <v>505</v>
      </c>
      <c r="K2" s="57" t="s">
        <v>506</v>
      </c>
      <c r="L2" s="57" t="s">
        <v>507</v>
      </c>
      <c r="M2" s="57" t="s">
        <v>508</v>
      </c>
      <c r="N2" s="57" t="s">
        <v>509</v>
      </c>
      <c r="O2" s="57" t="s">
        <v>510</v>
      </c>
      <c r="P2" s="57" t="s">
        <v>511</v>
      </c>
      <c r="Q2" s="57" t="s">
        <v>512</v>
      </c>
    </row>
    <row r="3" customFormat="false" ht="15" hidden="false" customHeight="true" outlineLevel="0" collapsed="false">
      <c r="A3" s="58" t="s">
        <v>549</v>
      </c>
      <c r="C3" s="59" t="s">
        <v>64</v>
      </c>
      <c r="D3" s="59" t="s">
        <v>65</v>
      </c>
      <c r="E3" s="59" t="s">
        <v>66</v>
      </c>
      <c r="F3" s="59" t="s">
        <v>339</v>
      </c>
      <c r="G3" s="59" t="s">
        <v>340</v>
      </c>
      <c r="H3" s="59" t="s">
        <v>341</v>
      </c>
      <c r="I3" s="59" t="s">
        <v>342</v>
      </c>
      <c r="J3" s="59" t="s">
        <v>343</v>
      </c>
      <c r="K3" s="59" t="s">
        <v>344</v>
      </c>
      <c r="L3" s="59" t="s">
        <v>345</v>
      </c>
      <c r="M3" s="59" t="s">
        <v>346</v>
      </c>
      <c r="N3" s="59" t="s">
        <v>347</v>
      </c>
      <c r="O3" s="59" t="s">
        <v>348</v>
      </c>
      <c r="P3" s="59" t="s">
        <v>349</v>
      </c>
      <c r="Q3" s="59" t="s">
        <v>350</v>
      </c>
    </row>
    <row r="4" customFormat="false" ht="15" hidden="false" customHeight="true" outlineLevel="0" collapsed="false">
      <c r="A4" s="60" t="s">
        <v>514</v>
      </c>
    </row>
    <row r="5" customFormat="false" ht="15" hidden="false" customHeight="true" outlineLevel="0" collapsed="false">
      <c r="A5" s="61" t="s">
        <v>112</v>
      </c>
      <c r="C5" s="62" t="n">
        <f aca="false">IF('Comp - Hotel'!D31&gt;0,Inputs!$B$57,0)</f>
        <v>0</v>
      </c>
      <c r="D5" s="62" t="n">
        <f aca="false">IF('Comp - Hotel'!E31&gt;0,Inputs!$B$57,0)</f>
        <v>0</v>
      </c>
      <c r="E5" s="62" t="n">
        <f aca="false">IF('Comp - Hotel'!F31&gt;0,Inputs!$B$57,0)</f>
        <v>0</v>
      </c>
      <c r="F5" s="62" t="n">
        <f aca="false">IF('Comp - Hotel'!G31&gt;0,Inputs!$B$57,0)</f>
        <v>600</v>
      </c>
      <c r="G5" s="62" t="n">
        <f aca="false">IF('Comp - Hotel'!H31&gt;0,Inputs!$B$57,0)</f>
        <v>600</v>
      </c>
      <c r="H5" s="62" t="n">
        <f aca="false">IF('Comp - Hotel'!I31&gt;0,Inputs!$B$57,0)</f>
        <v>600</v>
      </c>
      <c r="I5" s="62" t="n">
        <f aca="false">IF('Comp - Hotel'!J31&gt;0,Inputs!$B$57,0)</f>
        <v>600</v>
      </c>
      <c r="J5" s="62" t="n">
        <f aca="false">IF('Comp - Hotel'!K31&gt;0,Inputs!$B$57,0)</f>
        <v>600</v>
      </c>
      <c r="K5" s="62" t="n">
        <f aca="false">IF('Comp - Hotel'!L31&gt;0,Inputs!$B$57,0)</f>
        <v>600</v>
      </c>
      <c r="L5" s="62" t="n">
        <f aca="false">IF('Comp - Hotel'!M31&gt;0,Inputs!$B$57,0)</f>
        <v>600</v>
      </c>
      <c r="M5" s="62" t="n">
        <f aca="false">IF('Comp - Hotel'!N31&gt;0,Inputs!$B$57,0)</f>
        <v>600</v>
      </c>
      <c r="N5" s="62" t="n">
        <f aca="false">IF('Comp - Hotel'!O31&gt;0,Inputs!$B$57,0)</f>
        <v>600</v>
      </c>
      <c r="O5" s="62" t="n">
        <f aca="false">IF('Comp - Hotel'!P31&gt;0,Inputs!$B$57,0)</f>
        <v>600</v>
      </c>
      <c r="P5" s="62" t="n">
        <f aca="false">IF('Comp - Hotel'!Q31&gt;0,Inputs!$B$57,0)</f>
        <v>600</v>
      </c>
      <c r="Q5" s="62" t="n">
        <f aca="false">IF('Comp - Hotel'!R31&gt;0,Inputs!$B$57,0)</f>
        <v>600</v>
      </c>
    </row>
    <row r="6" customFormat="false" ht="15" hidden="false" customHeight="true" outlineLevel="0" collapsed="false">
      <c r="A6" s="61" t="s">
        <v>550</v>
      </c>
      <c r="C6" s="62" t="n">
        <f aca="false">'Comp - Hotel'!D26</f>
        <v>0</v>
      </c>
      <c r="D6" s="62" t="n">
        <f aca="false">'Comp - Hotel'!E26</f>
        <v>0</v>
      </c>
      <c r="E6" s="62" t="n">
        <f aca="false">'Comp - Hotel'!F26</f>
        <v>0</v>
      </c>
      <c r="F6" s="62" t="n">
        <f aca="false">'Comp - Hotel'!G26</f>
        <v>633.783783783784</v>
      </c>
      <c r="G6" s="62" t="n">
        <f aca="false">'Comp - Hotel'!H26</f>
        <v>647.790405405405</v>
      </c>
      <c r="H6" s="62" t="n">
        <f aca="false">'Comp - Hotel'!I26</f>
        <v>662.106573364865</v>
      </c>
      <c r="I6" s="62" t="n">
        <f aca="false">'Comp - Hotel'!J26</f>
        <v>676.739128636228</v>
      </c>
      <c r="J6" s="62" t="n">
        <f aca="false">'Comp - Hotel'!K26</f>
        <v>691.695063379089</v>
      </c>
      <c r="K6" s="62" t="n">
        <f aca="false">'Comp - Hotel'!L26</f>
        <v>706.981524279767</v>
      </c>
      <c r="L6" s="62" t="n">
        <f aca="false">'Comp - Hotel'!M26</f>
        <v>722.60581596635</v>
      </c>
      <c r="M6" s="62" t="n">
        <f aca="false">'Comp - Hotel'!N26</f>
        <v>738.575404499206</v>
      </c>
      <c r="N6" s="62" t="n">
        <f aca="false">'Comp - Hotel'!O26</f>
        <v>754.897920938638</v>
      </c>
      <c r="O6" s="62" t="n">
        <f aca="false">'Comp - Hotel'!P26</f>
        <v>771.581164991383</v>
      </c>
      <c r="P6" s="62" t="n">
        <f aca="false">'Comp - Hotel'!Q26</f>
        <v>788.633108737692</v>
      </c>
      <c r="Q6" s="62" t="n">
        <f aca="false">'Comp - Hotel'!R26</f>
        <v>806.061900440795</v>
      </c>
    </row>
    <row r="7" customFormat="false" ht="15" hidden="false" customHeight="true" outlineLevel="0" collapsed="false">
      <c r="A7" s="61" t="s">
        <v>551</v>
      </c>
      <c r="C7" s="63" t="n">
        <f aca="false">'Comp - Hotel'!D27</f>
        <v>0</v>
      </c>
      <c r="D7" s="63" t="n">
        <f aca="false">'Comp - Hotel'!E27</f>
        <v>0</v>
      </c>
      <c r="E7" s="63" t="n">
        <f aca="false">'Comp - Hotel'!F27</f>
        <v>0</v>
      </c>
      <c r="F7" s="63" t="n">
        <f aca="false">'Comp - Hotel'!G27</f>
        <v>0.558083333333333</v>
      </c>
      <c r="G7" s="63" t="n">
        <f aca="false">'Comp - Hotel'!H27</f>
        <v>0.587066666666667</v>
      </c>
      <c r="H7" s="63" t="n">
        <f aca="false">'Comp - Hotel'!I27</f>
        <v>0.616666666666667</v>
      </c>
      <c r="I7" s="63" t="n">
        <f aca="false">'Comp - Hotel'!J27</f>
        <v>0.616666666666667</v>
      </c>
      <c r="J7" s="63" t="n">
        <f aca="false">'Comp - Hotel'!K27</f>
        <v>0.616666666666667</v>
      </c>
      <c r="K7" s="63" t="n">
        <f aca="false">'Comp - Hotel'!L27</f>
        <v>0.616666666666667</v>
      </c>
      <c r="L7" s="63" t="n">
        <f aca="false">'Comp - Hotel'!M27</f>
        <v>0.616666666666667</v>
      </c>
      <c r="M7" s="63" t="n">
        <f aca="false">'Comp - Hotel'!N27</f>
        <v>0.616666666666667</v>
      </c>
      <c r="N7" s="63" t="n">
        <f aca="false">'Comp - Hotel'!O27</f>
        <v>0.616666666666667</v>
      </c>
      <c r="O7" s="63" t="n">
        <f aca="false">'Comp - Hotel'!P27</f>
        <v>0.616666666666667</v>
      </c>
      <c r="P7" s="63" t="n">
        <f aca="false">'Comp - Hotel'!Q27</f>
        <v>0.616666666666667</v>
      </c>
      <c r="Q7" s="63" t="n">
        <f aca="false">'Comp - Hotel'!R27</f>
        <v>0.616666666666667</v>
      </c>
    </row>
    <row r="8" customFormat="false" ht="15" hidden="false" customHeight="true" outlineLevel="0" collapsed="false">
      <c r="A8" s="61" t="s">
        <v>552</v>
      </c>
      <c r="C8" s="62" t="n">
        <f aca="false">'Comp - Hotel'!D28</f>
        <v>0</v>
      </c>
      <c r="D8" s="62" t="n">
        <f aca="false">'Comp - Hotel'!E28</f>
        <v>0</v>
      </c>
      <c r="E8" s="62" t="n">
        <f aca="false">'Comp - Hotel'!F28</f>
        <v>0</v>
      </c>
      <c r="F8" s="62" t="n">
        <f aca="false">'Comp - Hotel'!G28</f>
        <v>353.704166666667</v>
      </c>
      <c r="G8" s="62" t="n">
        <f aca="false">'Comp - Hotel'!H28</f>
        <v>380.296154</v>
      </c>
      <c r="H8" s="62" t="n">
        <f aca="false">'Comp - Hotel'!I28</f>
        <v>408.299053575</v>
      </c>
      <c r="I8" s="62" t="n">
        <f aca="false">'Comp - Hotel'!J28</f>
        <v>417.322462659008</v>
      </c>
      <c r="J8" s="62" t="n">
        <f aca="false">'Comp - Hotel'!K28</f>
        <v>426.545289083772</v>
      </c>
      <c r="K8" s="62" t="n">
        <f aca="false">'Comp - Hotel'!L28</f>
        <v>435.971939972523</v>
      </c>
      <c r="L8" s="62" t="n">
        <f aca="false">'Comp - Hotel'!M28</f>
        <v>445.606919845916</v>
      </c>
      <c r="M8" s="62" t="n">
        <f aca="false">'Comp - Hotel'!N28</f>
        <v>455.45483277451</v>
      </c>
      <c r="N8" s="62" t="n">
        <f aca="false">'Comp - Hotel'!O28</f>
        <v>465.520384578827</v>
      </c>
      <c r="O8" s="62" t="n">
        <f aca="false">'Comp - Hotel'!P28</f>
        <v>475.808385078019</v>
      </c>
      <c r="P8" s="62" t="n">
        <f aca="false">'Comp - Hotel'!Q28</f>
        <v>486.323750388243</v>
      </c>
      <c r="Q8" s="62" t="n">
        <f aca="false">'Comp - Hotel'!R28</f>
        <v>497.071505271824</v>
      </c>
    </row>
    <row r="9" customFormat="false" ht="15" hidden="false" customHeight="true" outlineLevel="0" collapsed="false">
      <c r="A9" s="61" t="s">
        <v>553</v>
      </c>
      <c r="C9" s="63" t="n">
        <f aca="false">IF('Comp - Hotel'!D31&gt;0,1/Inputs!$B$63-1,0)</f>
        <v>0</v>
      </c>
      <c r="D9" s="63" t="n">
        <f aca="false">IF('Comp - Hotel'!E31&gt;0,1/Inputs!$B$63-1,0)</f>
        <v>0</v>
      </c>
      <c r="E9" s="63" t="n">
        <f aca="false">IF('Comp - Hotel'!F31&gt;0,1/Inputs!$B$63-1,0)</f>
        <v>0</v>
      </c>
      <c r="F9" s="63" t="n">
        <f aca="false">IF('Comp - Hotel'!G31&gt;0,1/Inputs!$B$63-1,0)</f>
        <v>0.199040767386091</v>
      </c>
      <c r="G9" s="63" t="n">
        <f aca="false">IF('Comp - Hotel'!H31&gt;0,1/Inputs!$B$63-1,0)</f>
        <v>0.199040767386091</v>
      </c>
      <c r="H9" s="63" t="n">
        <f aca="false">IF('Comp - Hotel'!I31&gt;0,1/Inputs!$B$63-1,0)</f>
        <v>0.199040767386091</v>
      </c>
      <c r="I9" s="63" t="n">
        <f aca="false">IF('Comp - Hotel'!J31&gt;0,1/Inputs!$B$63-1,0)</f>
        <v>0.199040767386091</v>
      </c>
      <c r="J9" s="63" t="n">
        <f aca="false">IF('Comp - Hotel'!K31&gt;0,1/Inputs!$B$63-1,0)</f>
        <v>0.199040767386091</v>
      </c>
      <c r="K9" s="63" t="n">
        <f aca="false">IF('Comp - Hotel'!L31&gt;0,1/Inputs!$B$63-1,0)</f>
        <v>0.199040767386091</v>
      </c>
      <c r="L9" s="63" t="n">
        <f aca="false">IF('Comp - Hotel'!M31&gt;0,1/Inputs!$B$63-1,0)</f>
        <v>0.199040767386091</v>
      </c>
      <c r="M9" s="63" t="n">
        <f aca="false">IF('Comp - Hotel'!N31&gt;0,1/Inputs!$B$63-1,0)</f>
        <v>0.199040767386091</v>
      </c>
      <c r="N9" s="63" t="n">
        <f aca="false">IF('Comp - Hotel'!O31&gt;0,1/Inputs!$B$63-1,0)</f>
        <v>0.199040767386091</v>
      </c>
      <c r="O9" s="63" t="n">
        <f aca="false">IF('Comp - Hotel'!P31&gt;0,1/Inputs!$B$63-1,0)</f>
        <v>0.199040767386091</v>
      </c>
      <c r="P9" s="63" t="n">
        <f aca="false">IF('Comp - Hotel'!Q31&gt;0,1/Inputs!$B$63-1,0)</f>
        <v>0.199040767386091</v>
      </c>
      <c r="Q9" s="63" t="n">
        <f aca="false">IF('Comp - Hotel'!R31&gt;0,1/Inputs!$B$63-1,0)</f>
        <v>0.199040767386091</v>
      </c>
    </row>
    <row r="10" customFormat="false" ht="15" hidden="false" customHeight="true" outlineLevel="0" collapsed="false">
      <c r="A10" s="61" t="s">
        <v>554</v>
      </c>
      <c r="C10" s="63" t="n">
        <f aca="false">'Comp - Hotel'!D33</f>
        <v>0</v>
      </c>
      <c r="D10" s="63" t="n">
        <f aca="false">'Comp - Hotel'!E33</f>
        <v>0</v>
      </c>
      <c r="E10" s="63" t="n">
        <f aca="false">'Comp - Hotel'!F33</f>
        <v>0</v>
      </c>
      <c r="F10" s="63" t="n">
        <f aca="false">'Comp - Hotel'!G33</f>
        <v>0.442</v>
      </c>
      <c r="G10" s="63" t="n">
        <f aca="false">'Comp - Hotel'!H33</f>
        <v>0.461</v>
      </c>
      <c r="H10" s="63" t="n">
        <f aca="false">'Comp - Hotel'!I33</f>
        <v>0.474</v>
      </c>
      <c r="I10" s="63" t="n">
        <f aca="false">'Comp - Hotel'!J33</f>
        <v>0.474</v>
      </c>
      <c r="J10" s="63" t="n">
        <f aca="false">'Comp - Hotel'!K33</f>
        <v>0.474</v>
      </c>
      <c r="K10" s="63" t="n">
        <f aca="false">'Comp - Hotel'!L33</f>
        <v>0.474</v>
      </c>
      <c r="L10" s="63" t="n">
        <f aca="false">'Comp - Hotel'!M33</f>
        <v>0.474</v>
      </c>
      <c r="M10" s="63" t="n">
        <f aca="false">'Comp - Hotel'!N33</f>
        <v>0.474</v>
      </c>
      <c r="N10" s="63" t="n">
        <f aca="false">'Comp - Hotel'!O33</f>
        <v>0.474</v>
      </c>
      <c r="O10" s="63" t="n">
        <f aca="false">'Comp - Hotel'!P33</f>
        <v>0.474</v>
      </c>
      <c r="P10" s="63" t="n">
        <f aca="false">'Comp - Hotel'!Q33</f>
        <v>0.474</v>
      </c>
      <c r="Q10" s="63" t="n">
        <f aca="false">'Comp - Hotel'!R33</f>
        <v>0.474</v>
      </c>
    </row>
    <row r="11" customFormat="false" ht="15" hidden="false" customHeight="true" outlineLevel="0" collapsed="false">
      <c r="A11" s="61" t="s">
        <v>555</v>
      </c>
      <c r="C11" s="63" t="n">
        <f aca="false">IF('Comp - Hotel'!D31&gt;0,Inputs!$B$70,0)</f>
        <v>0</v>
      </c>
      <c r="D11" s="63" t="n">
        <f aca="false">IF('Comp - Hotel'!E31&gt;0,Inputs!$B$70,0)</f>
        <v>0</v>
      </c>
      <c r="E11" s="63" t="n">
        <f aca="false">IF('Comp - Hotel'!F31&gt;0,Inputs!$B$70,0)</f>
        <v>0</v>
      </c>
      <c r="F11" s="63" t="n">
        <f aca="false">IF('Comp - Hotel'!G31&gt;0,Inputs!$B$70,0)</f>
        <v>0.03</v>
      </c>
      <c r="G11" s="63" t="n">
        <f aca="false">IF('Comp - Hotel'!H31&gt;0,Inputs!$B$70,0)</f>
        <v>0.03</v>
      </c>
      <c r="H11" s="63" t="n">
        <f aca="false">IF('Comp - Hotel'!I31&gt;0,Inputs!$B$70,0)</f>
        <v>0.03</v>
      </c>
      <c r="I11" s="63" t="n">
        <f aca="false">IF('Comp - Hotel'!J31&gt;0,Inputs!$B$70,0)</f>
        <v>0.03</v>
      </c>
      <c r="J11" s="63" t="n">
        <f aca="false">IF('Comp - Hotel'!K31&gt;0,Inputs!$B$70,0)</f>
        <v>0.03</v>
      </c>
      <c r="K11" s="63" t="n">
        <f aca="false">IF('Comp - Hotel'!L31&gt;0,Inputs!$B$70,0)</f>
        <v>0.03</v>
      </c>
      <c r="L11" s="63" t="n">
        <f aca="false">IF('Comp - Hotel'!M31&gt;0,Inputs!$B$70,0)</f>
        <v>0.03</v>
      </c>
      <c r="M11" s="63" t="n">
        <f aca="false">IF('Comp - Hotel'!N31&gt;0,Inputs!$B$70,0)</f>
        <v>0.03</v>
      </c>
      <c r="N11" s="63" t="n">
        <f aca="false">IF('Comp - Hotel'!O31&gt;0,Inputs!$B$70,0)</f>
        <v>0.03</v>
      </c>
      <c r="O11" s="63" t="n">
        <f aca="false">IF('Comp - Hotel'!P31&gt;0,Inputs!$B$70,0)</f>
        <v>0.03</v>
      </c>
      <c r="P11" s="63" t="n">
        <f aca="false">IF('Comp - Hotel'!Q31&gt;0,Inputs!$B$70,0)</f>
        <v>0.03</v>
      </c>
      <c r="Q11" s="63" t="n">
        <f aca="false">IF('Comp - Hotel'!R31&gt;0,Inputs!$B$70,0)</f>
        <v>0.03</v>
      </c>
    </row>
    <row r="13" customFormat="false" ht="15" hidden="false" customHeight="true" outlineLevel="0" collapsed="false">
      <c r="A13" s="60" t="s">
        <v>523</v>
      </c>
    </row>
    <row r="14" customFormat="false" ht="15" hidden="false" customHeight="true" outlineLevel="0" collapsed="false">
      <c r="A14" s="64" t="s">
        <v>426</v>
      </c>
      <c r="B14" s="65" t="n">
        <f aca="false">SUM(C14:Q14)</f>
        <v>1331612.63137033</v>
      </c>
      <c r="C14" s="66" t="n">
        <f aca="false">'Comp - Hotel'!D31*1000</f>
        <v>0</v>
      </c>
      <c r="D14" s="66" t="n">
        <f aca="false">'Comp - Hotel'!E31*1000</f>
        <v>0</v>
      </c>
      <c r="E14" s="66" t="n">
        <f aca="false">'Comp - Hotel'!F31*1000</f>
        <v>0</v>
      </c>
      <c r="F14" s="66" t="n">
        <f aca="false">'Comp - Hotel'!G31*1000</f>
        <v>46439.5758393285</v>
      </c>
      <c r="G14" s="66" t="n">
        <f aca="false">'Comp - Hotel'!H31*1000</f>
        <v>99861.9397194245</v>
      </c>
      <c r="H14" s="66" t="n">
        <f aca="false">'Comp - Hotel'!I31*1000</f>
        <v>107215.219104227</v>
      </c>
      <c r="I14" s="66" t="n">
        <f aca="false">'Comp - Hotel'!J31*1000</f>
        <v>109584.67544643</v>
      </c>
      <c r="J14" s="66" t="n">
        <f aca="false">'Comp - Hotel'!K31*1000</f>
        <v>112006.496773796</v>
      </c>
      <c r="K14" s="66" t="n">
        <f aca="false">'Comp - Hotel'!L31*1000</f>
        <v>114481.840352497</v>
      </c>
      <c r="L14" s="66" t="n">
        <f aca="false">'Comp - Hotel'!M31*1000</f>
        <v>117011.889024287</v>
      </c>
      <c r="M14" s="66" t="n">
        <f aca="false">'Comp - Hotel'!N31*1000</f>
        <v>119597.851771724</v>
      </c>
      <c r="N14" s="66" t="n">
        <f aca="false">'Comp - Hotel'!O31*1000</f>
        <v>122240.964295879</v>
      </c>
      <c r="O14" s="66" t="n">
        <f aca="false">'Comp - Hotel'!P31*1000</f>
        <v>124942.489606818</v>
      </c>
      <c r="P14" s="66" t="n">
        <f aca="false">'Comp - Hotel'!Q31*1000</f>
        <v>127703.718627129</v>
      </c>
      <c r="Q14" s="66" t="n">
        <f aca="false">'Comp - Hotel'!R31*1000</f>
        <v>130525.970808788</v>
      </c>
    </row>
    <row r="15" customFormat="false" ht="15" hidden="false" customHeight="true" outlineLevel="0" collapsed="false">
      <c r="A15" s="64" t="s">
        <v>556</v>
      </c>
      <c r="B15" s="65" t="n">
        <f aca="false">SUM(C15:Q15)</f>
        <v>484915.222180296</v>
      </c>
      <c r="C15" s="66" t="n">
        <f aca="false">'Comp - Hotel'!D36*1000</f>
        <v>0</v>
      </c>
      <c r="D15" s="66" t="n">
        <f aca="false">'Comp - Hotel'!E36*1000</f>
        <v>0</v>
      </c>
      <c r="E15" s="66" t="n">
        <f aca="false">'Comp - Hotel'!F36*1000</f>
        <v>0</v>
      </c>
      <c r="F15" s="66" t="n">
        <f aca="false">'Comp - Hotel'!G36*1000</f>
        <v>15633.4188105516</v>
      </c>
      <c r="G15" s="66" t="n">
        <f aca="false">'Comp - Hotel'!H36*1000</f>
        <v>35363.1100934426</v>
      </c>
      <c r="H15" s="66" t="n">
        <f aca="false">'Comp - Hotel'!I36*1000</f>
        <v>39249.3474096753</v>
      </c>
      <c r="I15" s="66" t="n">
        <f aca="false">'Comp - Hotel'!J36*1000</f>
        <v>40116.7579874291</v>
      </c>
      <c r="J15" s="66" t="n">
        <f aca="false">'Comp - Hotel'!K36*1000</f>
        <v>41003.3383389513</v>
      </c>
      <c r="K15" s="66" t="n">
        <f aca="false">'Comp - Hotel'!L36*1000</f>
        <v>41909.5121162421</v>
      </c>
      <c r="L15" s="66" t="n">
        <f aca="false">'Comp - Hotel'!M36*1000</f>
        <v>42835.7123340111</v>
      </c>
      <c r="M15" s="66" t="n">
        <f aca="false">'Comp - Hotel'!N36*1000</f>
        <v>43782.3815765927</v>
      </c>
      <c r="N15" s="66" t="n">
        <f aca="false">'Comp - Hotel'!O36*1000</f>
        <v>44749.9722094354</v>
      </c>
      <c r="O15" s="66" t="n">
        <f aca="false">'Comp - Hotel'!P36*1000</f>
        <v>45738.9465952639</v>
      </c>
      <c r="P15" s="66" t="n">
        <f aca="false">'Comp - Hotel'!Q36*1000</f>
        <v>46749.7773150193</v>
      </c>
      <c r="Q15" s="66" t="n">
        <f aca="false">'Comp - Hotel'!R36*1000</f>
        <v>47782.9473936812</v>
      </c>
    </row>
    <row r="16" customFormat="false" ht="15" hidden="false" customHeight="true" outlineLevel="0" collapsed="false">
      <c r="A16" s="61" t="s">
        <v>529</v>
      </c>
      <c r="B16" s="65" t="n">
        <f aca="false">SUM(C16:Q16)</f>
        <v>0</v>
      </c>
      <c r="C16" s="62" t="n">
        <f aca="false">'Comp - Hotel'!D39*1000</f>
        <v>-0</v>
      </c>
      <c r="D16" s="62" t="n">
        <f aca="false">'Comp - Hotel'!E39*1000</f>
        <v>-0</v>
      </c>
      <c r="E16" s="62" t="n">
        <f aca="false">'Comp - Hotel'!F39*1000</f>
        <v>-0</v>
      </c>
      <c r="F16" s="62" t="n">
        <f aca="false">'Comp - Hotel'!G39*1000</f>
        <v>-0</v>
      </c>
      <c r="G16" s="62" t="n">
        <f aca="false">'Comp - Hotel'!H39*1000</f>
        <v>-0</v>
      </c>
      <c r="H16" s="62" t="n">
        <f aca="false">'Comp - Hotel'!I39*1000</f>
        <v>-0</v>
      </c>
      <c r="I16" s="62" t="n">
        <f aca="false">'Comp - Hotel'!J39*1000</f>
        <v>-0</v>
      </c>
      <c r="J16" s="62" t="n">
        <f aca="false">'Comp - Hotel'!K39*1000</f>
        <v>-0</v>
      </c>
      <c r="K16" s="62" t="n">
        <f aca="false">'Comp - Hotel'!L39*1000</f>
        <v>-0</v>
      </c>
      <c r="L16" s="62" t="n">
        <f aca="false">'Comp - Hotel'!M39*1000</f>
        <v>-0</v>
      </c>
      <c r="M16" s="62" t="n">
        <f aca="false">'Comp - Hotel'!N39*1000</f>
        <v>-0</v>
      </c>
      <c r="N16" s="62" t="n">
        <f aca="false">'Comp - Hotel'!O39*1000</f>
        <v>-0</v>
      </c>
      <c r="O16" s="62" t="n">
        <f aca="false">'Comp - Hotel'!P39*1000</f>
        <v>-0</v>
      </c>
      <c r="P16" s="62" t="n">
        <f aca="false">'Comp - Hotel'!Q39*1000</f>
        <v>-0</v>
      </c>
      <c r="Q16" s="62" t="n">
        <f aca="false">'Comp - Hotel'!R39*1000</f>
        <v>-0</v>
      </c>
    </row>
    <row r="17" customFormat="false" ht="15" hidden="false" customHeight="true" outlineLevel="0" collapsed="false">
      <c r="A17" s="61" t="s">
        <v>528</v>
      </c>
      <c r="B17" s="65" t="n">
        <f aca="false">SUM(C17:Q17)</f>
        <v>-26632.2526274066</v>
      </c>
      <c r="C17" s="62" t="n">
        <f aca="false">'Comp - Hotel'!D40*1000</f>
        <v>-0</v>
      </c>
      <c r="D17" s="62" t="n">
        <f aca="false">'Comp - Hotel'!E40*1000</f>
        <v>-0</v>
      </c>
      <c r="E17" s="62" t="n">
        <f aca="false">'Comp - Hotel'!F40*1000</f>
        <v>-0</v>
      </c>
      <c r="F17" s="62" t="n">
        <f aca="false">'Comp - Hotel'!G40*1000</f>
        <v>-928.791516786571</v>
      </c>
      <c r="G17" s="62" t="n">
        <f aca="false">'Comp - Hotel'!H40*1000</f>
        <v>-1997.23879438849</v>
      </c>
      <c r="H17" s="62" t="n">
        <f aca="false">'Comp - Hotel'!I40*1000</f>
        <v>-2144.30438208453</v>
      </c>
      <c r="I17" s="62" t="n">
        <f aca="false">'Comp - Hotel'!J40*1000</f>
        <v>-2191.6935089286</v>
      </c>
      <c r="J17" s="62" t="n">
        <f aca="false">'Comp - Hotel'!K40*1000</f>
        <v>-2240.12993547592</v>
      </c>
      <c r="K17" s="62" t="n">
        <f aca="false">'Comp - Hotel'!L40*1000</f>
        <v>-2289.63680704994</v>
      </c>
      <c r="L17" s="62" t="n">
        <f aca="false">'Comp - Hotel'!M40*1000</f>
        <v>-2340.23778048574</v>
      </c>
      <c r="M17" s="62" t="n">
        <f aca="false">'Comp - Hotel'!N40*1000</f>
        <v>-2391.95703543448</v>
      </c>
      <c r="N17" s="62" t="n">
        <f aca="false">'Comp - Hotel'!O40*1000</f>
        <v>-2444.81928591758</v>
      </c>
      <c r="O17" s="62" t="n">
        <f aca="false">'Comp - Hotel'!P40*1000</f>
        <v>-2498.84979213636</v>
      </c>
      <c r="P17" s="62" t="n">
        <f aca="false">'Comp - Hotel'!Q40*1000</f>
        <v>-2554.07437254257</v>
      </c>
      <c r="Q17" s="62" t="n">
        <f aca="false">'Comp - Hotel'!R40*1000</f>
        <v>-2610.51941617576</v>
      </c>
    </row>
    <row r="18" customFormat="false" ht="15" hidden="false" customHeight="true" outlineLevel="0" collapsed="false">
      <c r="A18" s="61" t="s">
        <v>557</v>
      </c>
      <c r="B18" s="65" t="n">
        <f aca="false">SUM(C18:Q18)</f>
        <v>0</v>
      </c>
      <c r="C18" s="62" t="n">
        <f aca="false">'Comp - Hotel'!D41*1000</f>
        <v>-0</v>
      </c>
      <c r="D18" s="62" t="n">
        <f aca="false">'Comp - Hotel'!E41*1000</f>
        <v>-0</v>
      </c>
      <c r="E18" s="62" t="n">
        <f aca="false">'Comp - Hotel'!F41*1000</f>
        <v>-0</v>
      </c>
      <c r="F18" s="62" t="n">
        <f aca="false">'Comp - Hotel'!G41*1000</f>
        <v>-0</v>
      </c>
      <c r="G18" s="62" t="n">
        <f aca="false">'Comp - Hotel'!H41*1000</f>
        <v>-0</v>
      </c>
      <c r="H18" s="62" t="n">
        <f aca="false">'Comp - Hotel'!I41*1000</f>
        <v>-0</v>
      </c>
      <c r="I18" s="62" t="n">
        <f aca="false">'Comp - Hotel'!J41*1000</f>
        <v>-0</v>
      </c>
      <c r="J18" s="62" t="n">
        <f aca="false">'Comp - Hotel'!K41*1000</f>
        <v>-0</v>
      </c>
      <c r="K18" s="62" t="n">
        <f aca="false">'Comp - Hotel'!L41*1000</f>
        <v>-0</v>
      </c>
      <c r="L18" s="62" t="n">
        <f aca="false">'Comp - Hotel'!M41*1000</f>
        <v>-0</v>
      </c>
      <c r="M18" s="62" t="n">
        <f aca="false">'Comp - Hotel'!N41*1000</f>
        <v>-0</v>
      </c>
      <c r="N18" s="62" t="n">
        <f aca="false">'Comp - Hotel'!O41*1000</f>
        <v>-0</v>
      </c>
      <c r="O18" s="62" t="n">
        <f aca="false">'Comp - Hotel'!P41*1000</f>
        <v>-0</v>
      </c>
      <c r="P18" s="62" t="n">
        <f aca="false">'Comp - Hotel'!Q41*1000</f>
        <v>-0</v>
      </c>
      <c r="Q18" s="62" t="n">
        <f aca="false">'Comp - Hotel'!R41*1000</f>
        <v>-0</v>
      </c>
    </row>
    <row r="19" customFormat="false" ht="15" hidden="false" customHeight="true" outlineLevel="0" collapsed="false">
      <c r="A19" s="61" t="s">
        <v>558</v>
      </c>
      <c r="B19" s="65" t="n">
        <f aca="false">SUM(C19:Q19)</f>
        <v>0</v>
      </c>
      <c r="C19" s="62" t="n">
        <f aca="false">'Comp - Hotel'!D42*1000</f>
        <v>-0</v>
      </c>
      <c r="D19" s="62" t="n">
        <f aca="false">'Comp - Hotel'!E42*1000</f>
        <v>-0</v>
      </c>
      <c r="E19" s="62" t="n">
        <f aca="false">'Comp - Hotel'!F42*1000</f>
        <v>-0</v>
      </c>
      <c r="F19" s="62" t="n">
        <f aca="false">'Comp - Hotel'!G42*1000</f>
        <v>-0</v>
      </c>
      <c r="G19" s="62" t="n">
        <f aca="false">'Comp - Hotel'!H42*1000</f>
        <v>-0</v>
      </c>
      <c r="H19" s="62" t="n">
        <f aca="false">'Comp - Hotel'!I42*1000</f>
        <v>-0</v>
      </c>
      <c r="I19" s="62" t="n">
        <f aca="false">'Comp - Hotel'!J42*1000</f>
        <v>-0</v>
      </c>
      <c r="J19" s="62" t="n">
        <f aca="false">'Comp - Hotel'!K42*1000</f>
        <v>-0</v>
      </c>
      <c r="K19" s="62" t="n">
        <f aca="false">'Comp - Hotel'!L42*1000</f>
        <v>-0</v>
      </c>
      <c r="L19" s="62" t="n">
        <f aca="false">'Comp - Hotel'!M42*1000</f>
        <v>-0</v>
      </c>
      <c r="M19" s="62" t="n">
        <f aca="false">'Comp - Hotel'!N42*1000</f>
        <v>-0</v>
      </c>
      <c r="N19" s="62" t="n">
        <f aca="false">'Comp - Hotel'!O42*1000</f>
        <v>-0</v>
      </c>
      <c r="O19" s="62" t="n">
        <f aca="false">'Comp - Hotel'!P42*1000</f>
        <v>-0</v>
      </c>
      <c r="P19" s="62" t="n">
        <f aca="false">'Comp - Hotel'!Q42*1000</f>
        <v>-0</v>
      </c>
      <c r="Q19" s="62" t="n">
        <f aca="false">'Comp - Hotel'!R42*1000</f>
        <v>-0</v>
      </c>
    </row>
    <row r="20" customFormat="false" ht="15" hidden="false" customHeight="true" outlineLevel="0" collapsed="false">
      <c r="A20" s="67" t="s">
        <v>559</v>
      </c>
      <c r="B20" s="68" t="n">
        <f aca="false">SUM(C20:Q20)</f>
        <v>458282.969552889</v>
      </c>
      <c r="C20" s="74" t="n">
        <f aca="false">SUM(C15:C19)</f>
        <v>0</v>
      </c>
      <c r="D20" s="74" t="n">
        <f aca="false">SUM(D15:D19)</f>
        <v>0</v>
      </c>
      <c r="E20" s="74" t="n">
        <f aca="false">SUM(E15:E19)</f>
        <v>0</v>
      </c>
      <c r="F20" s="74" t="n">
        <f aca="false">SUM(F15:F19)</f>
        <v>14704.627293765</v>
      </c>
      <c r="G20" s="74" t="n">
        <f aca="false">SUM(G15:G19)</f>
        <v>33365.8712990541</v>
      </c>
      <c r="H20" s="74" t="n">
        <f aca="false">SUM(H15:H19)</f>
        <v>37105.0430275908</v>
      </c>
      <c r="I20" s="74" t="n">
        <f aca="false">SUM(I15:I19)</f>
        <v>37925.0644785005</v>
      </c>
      <c r="J20" s="74" t="n">
        <f aca="false">SUM(J15:J19)</f>
        <v>38763.2084034754</v>
      </c>
      <c r="K20" s="74" t="n">
        <f aca="false">SUM(K15:K19)</f>
        <v>39619.8753091922</v>
      </c>
      <c r="L20" s="74" t="n">
        <f aca="false">SUM(L15:L19)</f>
        <v>40495.4745535253</v>
      </c>
      <c r="M20" s="74" t="n">
        <f aca="false">SUM(M15:M19)</f>
        <v>41390.4245411582</v>
      </c>
      <c r="N20" s="74" t="n">
        <f aca="false">SUM(N15:N19)</f>
        <v>42305.1529235178</v>
      </c>
      <c r="O20" s="74" t="n">
        <f aca="false">SUM(O15:O19)</f>
        <v>43240.0968031276</v>
      </c>
      <c r="P20" s="74" t="n">
        <f aca="false">SUM(P15:P19)</f>
        <v>44195.7029424767</v>
      </c>
      <c r="Q20" s="74" t="n">
        <f aca="false">SUM(Q15:Q19)</f>
        <v>45172.4279775054</v>
      </c>
    </row>
    <row r="22" customFormat="false" ht="15" hidden="false" customHeight="true" outlineLevel="0" collapsed="false">
      <c r="A22" s="60" t="s">
        <v>7</v>
      </c>
    </row>
    <row r="23" customFormat="false" ht="15" hidden="false" customHeight="true" outlineLevel="0" collapsed="false">
      <c r="A23" s="69" t="s">
        <v>532</v>
      </c>
      <c r="B23" s="65" t="n">
        <f aca="false">SUM(C23:Q23)</f>
        <v>48818.4984556456</v>
      </c>
      <c r="C23" s="70" t="n">
        <f aca="false">'Comp - Hotel'!D6*1000</f>
        <v>0</v>
      </c>
      <c r="D23" s="70" t="n">
        <f aca="false">'Comp - Hotel'!E6*1000</f>
        <v>9763.69969112912</v>
      </c>
      <c r="E23" s="70" t="n">
        <f aca="false">'Comp - Hotel'!F6*1000</f>
        <v>26850.1741506051</v>
      </c>
      <c r="F23" s="70" t="n">
        <f aca="false">'Comp - Hotel'!G6*1000</f>
        <v>12204.6246139114</v>
      </c>
      <c r="G23" s="70" t="n">
        <f aca="false">'Comp - Hotel'!H6*1000</f>
        <v>0</v>
      </c>
      <c r="H23" s="70" t="n">
        <f aca="false">'Comp - Hotel'!I6*1000</f>
        <v>0</v>
      </c>
      <c r="I23" s="70" t="n">
        <f aca="false">'Comp - Hotel'!J6*1000</f>
        <v>0</v>
      </c>
      <c r="J23" s="70" t="n">
        <f aca="false">'Comp - Hotel'!K6*1000</f>
        <v>0</v>
      </c>
      <c r="K23" s="70" t="n">
        <f aca="false">'Comp - Hotel'!L6*1000</f>
        <v>0</v>
      </c>
      <c r="L23" s="70" t="n">
        <f aca="false">'Comp - Hotel'!M6*1000</f>
        <v>0</v>
      </c>
      <c r="M23" s="70" t="n">
        <f aca="false">'Comp - Hotel'!N6*1000</f>
        <v>0</v>
      </c>
      <c r="N23" s="70" t="n">
        <f aca="false">'Comp - Hotel'!O6*1000</f>
        <v>0</v>
      </c>
      <c r="O23" s="70" t="n">
        <f aca="false">'Comp - Hotel'!P6*1000</f>
        <v>0</v>
      </c>
      <c r="P23" s="70" t="n">
        <f aca="false">'Comp - Hotel'!Q6*1000</f>
        <v>0</v>
      </c>
      <c r="Q23" s="70" t="n">
        <f aca="false">'Comp - Hotel'!R6*1000</f>
        <v>0</v>
      </c>
    </row>
    <row r="24" customFormat="false" ht="15" hidden="false" customHeight="true" outlineLevel="0" collapsed="false">
      <c r="A24" s="69" t="s">
        <v>533</v>
      </c>
      <c r="B24" s="65" t="n">
        <f aca="false">SUM(C24:Q24)</f>
        <v>45063.2293436728</v>
      </c>
      <c r="C24" s="70" t="n">
        <f aca="false">'Comp - Hotel'!D7*1000</f>
        <v>0</v>
      </c>
      <c r="D24" s="70" t="n">
        <f aca="false">'Comp - Hotel'!E7*1000</f>
        <v>9012.64586873457</v>
      </c>
      <c r="E24" s="70" t="n">
        <f aca="false">'Comp - Hotel'!F7*1000</f>
        <v>24784.7761390201</v>
      </c>
      <c r="F24" s="70" t="n">
        <f aca="false">'Comp - Hotel'!G7*1000</f>
        <v>11265.8073359182</v>
      </c>
      <c r="G24" s="70" t="n">
        <f aca="false">'Comp - Hotel'!H7*1000</f>
        <v>0</v>
      </c>
      <c r="H24" s="70" t="n">
        <f aca="false">'Comp - Hotel'!I7*1000</f>
        <v>0</v>
      </c>
      <c r="I24" s="70" t="n">
        <f aca="false">'Comp - Hotel'!J7*1000</f>
        <v>0</v>
      </c>
      <c r="J24" s="70" t="n">
        <f aca="false">'Comp - Hotel'!K7*1000</f>
        <v>0</v>
      </c>
      <c r="K24" s="70" t="n">
        <f aca="false">'Comp - Hotel'!L7*1000</f>
        <v>0</v>
      </c>
      <c r="L24" s="70" t="n">
        <f aca="false">'Comp - Hotel'!M7*1000</f>
        <v>0</v>
      </c>
      <c r="M24" s="70" t="n">
        <f aca="false">'Comp - Hotel'!N7*1000</f>
        <v>0</v>
      </c>
      <c r="N24" s="70" t="n">
        <f aca="false">'Comp - Hotel'!O7*1000</f>
        <v>0</v>
      </c>
      <c r="O24" s="70" t="n">
        <f aca="false">'Comp - Hotel'!P7*1000</f>
        <v>0</v>
      </c>
      <c r="P24" s="70" t="n">
        <f aca="false">'Comp - Hotel'!Q7*1000</f>
        <v>0</v>
      </c>
      <c r="Q24" s="70" t="n">
        <f aca="false">'Comp - Hotel'!R7*1000</f>
        <v>0</v>
      </c>
    </row>
    <row r="25" customFormat="false" ht="15" hidden="false" customHeight="true" outlineLevel="0" collapsed="false">
      <c r="A25" s="69" t="s">
        <v>534</v>
      </c>
      <c r="B25" s="65" t="n">
        <f aca="false">SUM(C25:Q25)</f>
        <v>26286.8837838092</v>
      </c>
      <c r="C25" s="70" t="n">
        <f aca="false">'Comp - Hotel'!D8*1000</f>
        <v>0</v>
      </c>
      <c r="D25" s="70" t="n">
        <f aca="false">'Comp - Hotel'!E8*1000</f>
        <v>5257.37675676183</v>
      </c>
      <c r="E25" s="70" t="n">
        <f aca="false">'Comp - Hotel'!F8*1000</f>
        <v>14457.786081095</v>
      </c>
      <c r="F25" s="70" t="n">
        <f aca="false">'Comp - Hotel'!G8*1000</f>
        <v>6571.72094595229</v>
      </c>
      <c r="G25" s="70" t="n">
        <f aca="false">'Comp - Hotel'!H8*1000</f>
        <v>0</v>
      </c>
      <c r="H25" s="70" t="n">
        <f aca="false">'Comp - Hotel'!I8*1000</f>
        <v>0</v>
      </c>
      <c r="I25" s="70" t="n">
        <f aca="false">'Comp - Hotel'!J8*1000</f>
        <v>0</v>
      </c>
      <c r="J25" s="70" t="n">
        <f aca="false">'Comp - Hotel'!K8*1000</f>
        <v>0</v>
      </c>
      <c r="K25" s="70" t="n">
        <f aca="false">'Comp - Hotel'!L8*1000</f>
        <v>0</v>
      </c>
      <c r="L25" s="70" t="n">
        <f aca="false">'Comp - Hotel'!M8*1000</f>
        <v>0</v>
      </c>
      <c r="M25" s="70" t="n">
        <f aca="false">'Comp - Hotel'!N8*1000</f>
        <v>0</v>
      </c>
      <c r="N25" s="70" t="n">
        <f aca="false">'Comp - Hotel'!O8*1000</f>
        <v>0</v>
      </c>
      <c r="O25" s="70" t="n">
        <f aca="false">'Comp - Hotel'!P8*1000</f>
        <v>0</v>
      </c>
      <c r="P25" s="70" t="n">
        <f aca="false">'Comp - Hotel'!Q8*1000</f>
        <v>0</v>
      </c>
      <c r="Q25" s="70" t="n">
        <f aca="false">'Comp - Hotel'!R8*1000</f>
        <v>0</v>
      </c>
    </row>
    <row r="26" customFormat="false" ht="15" hidden="false" customHeight="true" outlineLevel="0" collapsed="false">
      <c r="A26" s="69" t="s">
        <v>535</v>
      </c>
      <c r="B26" s="65" t="n">
        <f aca="false">SUM(C26:Q26)</f>
        <v>24446.8019189425</v>
      </c>
      <c r="C26" s="70" t="n">
        <f aca="false">'Comp - Hotel'!D9*1000</f>
        <v>0</v>
      </c>
      <c r="D26" s="70" t="n">
        <f aca="false">'Comp - Hotel'!E9*1000</f>
        <v>4889.3603837885</v>
      </c>
      <c r="E26" s="70" t="n">
        <f aca="false">'Comp - Hotel'!F9*1000</f>
        <v>13445.7410554184</v>
      </c>
      <c r="F26" s="70" t="n">
        <f aca="false">'Comp - Hotel'!G9*1000</f>
        <v>6111.70047973563</v>
      </c>
      <c r="G26" s="70" t="n">
        <f aca="false">'Comp - Hotel'!H9*1000</f>
        <v>0</v>
      </c>
      <c r="H26" s="70" t="n">
        <f aca="false">'Comp - Hotel'!I9*1000</f>
        <v>0</v>
      </c>
      <c r="I26" s="70" t="n">
        <f aca="false">'Comp - Hotel'!J9*1000</f>
        <v>0</v>
      </c>
      <c r="J26" s="70" t="n">
        <f aca="false">'Comp - Hotel'!K9*1000</f>
        <v>0</v>
      </c>
      <c r="K26" s="70" t="n">
        <f aca="false">'Comp - Hotel'!L9*1000</f>
        <v>0</v>
      </c>
      <c r="L26" s="70" t="n">
        <f aca="false">'Comp - Hotel'!M9*1000</f>
        <v>0</v>
      </c>
      <c r="M26" s="70" t="n">
        <f aca="false">'Comp - Hotel'!N9*1000</f>
        <v>0</v>
      </c>
      <c r="N26" s="70" t="n">
        <f aca="false">'Comp - Hotel'!O9*1000</f>
        <v>0</v>
      </c>
      <c r="O26" s="70" t="n">
        <f aca="false">'Comp - Hotel'!P9*1000</f>
        <v>0</v>
      </c>
      <c r="P26" s="70" t="n">
        <f aca="false">'Comp - Hotel'!Q9*1000</f>
        <v>0</v>
      </c>
      <c r="Q26" s="70" t="n">
        <f aca="false">'Comp - Hotel'!R9*1000</f>
        <v>0</v>
      </c>
    </row>
    <row r="27" customFormat="false" ht="15" hidden="false" customHeight="true" outlineLevel="0" collapsed="false">
      <c r="A27" s="69" t="s">
        <v>536</v>
      </c>
      <c r="B27" s="65" t="n">
        <f aca="false">SUM(C27:Q27)</f>
        <v>35000</v>
      </c>
      <c r="C27" s="70" t="n">
        <f aca="false">('Comp - Hotel'!D10+'Comp - Hotel'!D11)*1000</f>
        <v>0</v>
      </c>
      <c r="D27" s="70" t="n">
        <f aca="false">('Comp - Hotel'!E10+'Comp - Hotel'!E11)*1000</f>
        <v>7000</v>
      </c>
      <c r="E27" s="70" t="n">
        <f aca="false">('Comp - Hotel'!F10+'Comp - Hotel'!F11)*1000</f>
        <v>19250</v>
      </c>
      <c r="F27" s="70" t="n">
        <f aca="false">('Comp - Hotel'!G10+'Comp - Hotel'!G11)*1000</f>
        <v>8750</v>
      </c>
      <c r="G27" s="70" t="n">
        <f aca="false">('Comp - Hotel'!H10+'Comp - Hotel'!H11)*1000</f>
        <v>0</v>
      </c>
      <c r="H27" s="70" t="n">
        <f aca="false">('Comp - Hotel'!I10+'Comp - Hotel'!I11)*1000</f>
        <v>0</v>
      </c>
      <c r="I27" s="70" t="n">
        <f aca="false">('Comp - Hotel'!J10+'Comp - Hotel'!J11)*1000</f>
        <v>0</v>
      </c>
      <c r="J27" s="70" t="n">
        <f aca="false">('Comp - Hotel'!K10+'Comp - Hotel'!K11)*1000</f>
        <v>0</v>
      </c>
      <c r="K27" s="70" t="n">
        <f aca="false">('Comp - Hotel'!L10+'Comp - Hotel'!L11)*1000</f>
        <v>0</v>
      </c>
      <c r="L27" s="70" t="n">
        <f aca="false">('Comp - Hotel'!M10+'Comp - Hotel'!M11)*1000</f>
        <v>0</v>
      </c>
      <c r="M27" s="70" t="n">
        <f aca="false">('Comp - Hotel'!N10+'Comp - Hotel'!N11)*1000</f>
        <v>0</v>
      </c>
      <c r="N27" s="70" t="n">
        <f aca="false">('Comp - Hotel'!O10+'Comp - Hotel'!O11)*1000</f>
        <v>0</v>
      </c>
      <c r="O27" s="70" t="n">
        <f aca="false">('Comp - Hotel'!P10+'Comp - Hotel'!P11)*1000</f>
        <v>0</v>
      </c>
      <c r="P27" s="70" t="n">
        <f aca="false">('Comp - Hotel'!Q10+'Comp - Hotel'!Q11)*1000</f>
        <v>0</v>
      </c>
      <c r="Q27" s="70" t="n">
        <f aca="false">('Comp - Hotel'!R10+'Comp - Hotel'!R11)*1000</f>
        <v>0</v>
      </c>
    </row>
    <row r="28" customFormat="false" ht="15" hidden="false" customHeight="true" outlineLevel="0" collapsed="false">
      <c r="A28" s="69" t="s">
        <v>538</v>
      </c>
      <c r="B28" s="65" t="n">
        <f aca="false">SUM(C28:Q28)</f>
        <v>5632.90366795911</v>
      </c>
      <c r="C28" s="70" t="n">
        <f aca="false">('Comp - Hotel'!D12+'Comp - Hotel'!D13)*1000</f>
        <v>0</v>
      </c>
      <c r="D28" s="70" t="n">
        <f aca="false">('Comp - Hotel'!E12+'Comp - Hotel'!E13)*1000</f>
        <v>1126.58073359182</v>
      </c>
      <c r="E28" s="70" t="n">
        <f aca="false">('Comp - Hotel'!F12+'Comp - Hotel'!F13)*1000</f>
        <v>3098.09701737751</v>
      </c>
      <c r="F28" s="70" t="n">
        <f aca="false">('Comp - Hotel'!G12+'Comp - Hotel'!G13)*1000</f>
        <v>1408.22591698978</v>
      </c>
      <c r="G28" s="70" t="n">
        <f aca="false">('Comp - Hotel'!H12+'Comp - Hotel'!H13)*1000</f>
        <v>0</v>
      </c>
      <c r="H28" s="70" t="n">
        <f aca="false">('Comp - Hotel'!I12+'Comp - Hotel'!I13)*1000</f>
        <v>0</v>
      </c>
      <c r="I28" s="70" t="n">
        <f aca="false">('Comp - Hotel'!J12+'Comp - Hotel'!J13)*1000</f>
        <v>0</v>
      </c>
      <c r="J28" s="70" t="n">
        <f aca="false">('Comp - Hotel'!K12+'Comp - Hotel'!K13)*1000</f>
        <v>0</v>
      </c>
      <c r="K28" s="70" t="n">
        <f aca="false">('Comp - Hotel'!L12+'Comp - Hotel'!L13)*1000</f>
        <v>0</v>
      </c>
      <c r="L28" s="70" t="n">
        <f aca="false">('Comp - Hotel'!M12+'Comp - Hotel'!M13)*1000</f>
        <v>0</v>
      </c>
      <c r="M28" s="70" t="n">
        <f aca="false">('Comp - Hotel'!N12+'Comp - Hotel'!N13)*1000</f>
        <v>0</v>
      </c>
      <c r="N28" s="70" t="n">
        <f aca="false">('Comp - Hotel'!O12+'Comp - Hotel'!O13)*1000</f>
        <v>0</v>
      </c>
      <c r="O28" s="70" t="n">
        <f aca="false">('Comp - Hotel'!P12+'Comp - Hotel'!P13)*1000</f>
        <v>0</v>
      </c>
      <c r="P28" s="70" t="n">
        <f aca="false">('Comp - Hotel'!Q12+'Comp - Hotel'!Q13)*1000</f>
        <v>0</v>
      </c>
      <c r="Q28" s="70" t="n">
        <f aca="false">('Comp - Hotel'!R12+'Comp - Hotel'!R13)*1000</f>
        <v>0</v>
      </c>
    </row>
    <row r="29" customFormat="false" ht="15" hidden="false" customHeight="true" outlineLevel="0" collapsed="false">
      <c r="A29" s="69" t="s">
        <v>539</v>
      </c>
      <c r="B29" s="65" t="n">
        <f aca="false">SUM(C29:Q29)</f>
        <v>10514.7535135237</v>
      </c>
      <c r="C29" s="70" t="n">
        <f aca="false">('Comp - Hotel'!D14+'Comp - Hotel'!D15+'Comp - Hotel'!D16)*1000</f>
        <v>0</v>
      </c>
      <c r="D29" s="70" t="n">
        <f aca="false">('Comp - Hotel'!E14+'Comp - Hotel'!E15+'Comp - Hotel'!E16)*1000</f>
        <v>2102.95070270473</v>
      </c>
      <c r="E29" s="70" t="n">
        <f aca="false">('Comp - Hotel'!F14+'Comp - Hotel'!F15+'Comp - Hotel'!F16)*1000</f>
        <v>5783.11443243802</v>
      </c>
      <c r="F29" s="70" t="n">
        <f aca="false">('Comp - Hotel'!G14+'Comp - Hotel'!G15+'Comp - Hotel'!G16)*1000</f>
        <v>2628.68837838092</v>
      </c>
      <c r="G29" s="70" t="n">
        <f aca="false">('Comp - Hotel'!H14+'Comp - Hotel'!H15+'Comp - Hotel'!H16)*1000</f>
        <v>0</v>
      </c>
      <c r="H29" s="70" t="n">
        <f aca="false">('Comp - Hotel'!I14+'Comp - Hotel'!I15+'Comp - Hotel'!I16)*1000</f>
        <v>0</v>
      </c>
      <c r="I29" s="70" t="n">
        <f aca="false">('Comp - Hotel'!J14+'Comp - Hotel'!J15+'Comp - Hotel'!J16)*1000</f>
        <v>0</v>
      </c>
      <c r="J29" s="70" t="n">
        <f aca="false">('Comp - Hotel'!K14+'Comp - Hotel'!K15+'Comp - Hotel'!K16)*1000</f>
        <v>0</v>
      </c>
      <c r="K29" s="70" t="n">
        <f aca="false">('Comp - Hotel'!L14+'Comp - Hotel'!L15+'Comp - Hotel'!L16)*1000</f>
        <v>0</v>
      </c>
      <c r="L29" s="70" t="n">
        <f aca="false">('Comp - Hotel'!M14+'Comp - Hotel'!M15+'Comp - Hotel'!M16)*1000</f>
        <v>0</v>
      </c>
      <c r="M29" s="70" t="n">
        <f aca="false">('Comp - Hotel'!N14+'Comp - Hotel'!N15+'Comp - Hotel'!N16)*1000</f>
        <v>0</v>
      </c>
      <c r="N29" s="70" t="n">
        <f aca="false">('Comp - Hotel'!O14+'Comp - Hotel'!O15+'Comp - Hotel'!O16)*1000</f>
        <v>0</v>
      </c>
      <c r="O29" s="70" t="n">
        <f aca="false">('Comp - Hotel'!P14+'Comp - Hotel'!P15+'Comp - Hotel'!P16)*1000</f>
        <v>0</v>
      </c>
      <c r="P29" s="70" t="n">
        <f aca="false">('Comp - Hotel'!Q14+'Comp - Hotel'!Q15+'Comp - Hotel'!Q16)*1000</f>
        <v>0</v>
      </c>
      <c r="Q29" s="70" t="n">
        <f aca="false">('Comp - Hotel'!R14+'Comp - Hotel'!R15+'Comp - Hotel'!R16)*1000</f>
        <v>0</v>
      </c>
    </row>
    <row r="30" customFormat="false" ht="15" hidden="false" customHeight="true" outlineLevel="0" collapsed="false">
      <c r="A30" s="69" t="s">
        <v>540</v>
      </c>
      <c r="B30" s="65" t="n">
        <f aca="false">SUM(C30:Q30)</f>
        <v>4506.32293436728</v>
      </c>
      <c r="C30" s="70" t="n">
        <f aca="false">('Comp - Hotel'!D17+'Comp - Hotel'!D18)*1000</f>
        <v>0</v>
      </c>
      <c r="D30" s="70" t="n">
        <f aca="false">('Comp - Hotel'!E17+'Comp - Hotel'!E18)*1000</f>
        <v>901.264586873457</v>
      </c>
      <c r="E30" s="70" t="n">
        <f aca="false">('Comp - Hotel'!F17+'Comp - Hotel'!F18)*1000</f>
        <v>2478.47761390201</v>
      </c>
      <c r="F30" s="70" t="n">
        <f aca="false">('Comp - Hotel'!G17+'Comp - Hotel'!G18)*1000</f>
        <v>1126.58073359182</v>
      </c>
      <c r="G30" s="70" t="n">
        <f aca="false">('Comp - Hotel'!H17+'Comp - Hotel'!H18)*1000</f>
        <v>0</v>
      </c>
      <c r="H30" s="70" t="n">
        <f aca="false">('Comp - Hotel'!I17+'Comp - Hotel'!I18)*1000</f>
        <v>0</v>
      </c>
      <c r="I30" s="70" t="n">
        <f aca="false">('Comp - Hotel'!J17+'Comp - Hotel'!J18)*1000</f>
        <v>0</v>
      </c>
      <c r="J30" s="70" t="n">
        <f aca="false">('Comp - Hotel'!K17+'Comp - Hotel'!K18)*1000</f>
        <v>0</v>
      </c>
      <c r="K30" s="70" t="n">
        <f aca="false">('Comp - Hotel'!L17+'Comp - Hotel'!L18)*1000</f>
        <v>0</v>
      </c>
      <c r="L30" s="70" t="n">
        <f aca="false">('Comp - Hotel'!M17+'Comp - Hotel'!M18)*1000</f>
        <v>0</v>
      </c>
      <c r="M30" s="70" t="n">
        <f aca="false">('Comp - Hotel'!N17+'Comp - Hotel'!N18)*1000</f>
        <v>0</v>
      </c>
      <c r="N30" s="70" t="n">
        <f aca="false">('Comp - Hotel'!O17+'Comp - Hotel'!O18)*1000</f>
        <v>0</v>
      </c>
      <c r="O30" s="70" t="n">
        <f aca="false">('Comp - Hotel'!P17+'Comp - Hotel'!P18)*1000</f>
        <v>0</v>
      </c>
      <c r="P30" s="70" t="n">
        <f aca="false">('Comp - Hotel'!Q17+'Comp - Hotel'!Q18)*1000</f>
        <v>0</v>
      </c>
      <c r="Q30" s="70" t="n">
        <f aca="false">('Comp - Hotel'!R17+'Comp - Hotel'!R18)*1000</f>
        <v>0</v>
      </c>
    </row>
    <row r="31" customFormat="false" ht="15" hidden="false" customHeight="true" outlineLevel="0" collapsed="false">
      <c r="A31" s="69" t="s">
        <v>541</v>
      </c>
      <c r="B31" s="65" t="n">
        <f aca="false">SUM(C31:Q31)</f>
        <v>15000</v>
      </c>
      <c r="C31" s="70" t="n">
        <f aca="false">'Comp - Hotel'!D21*1000</f>
        <v>0</v>
      </c>
      <c r="D31" s="70" t="n">
        <f aca="false">'Comp - Hotel'!E21*1000</f>
        <v>0</v>
      </c>
      <c r="E31" s="70" t="n">
        <f aca="false">'Comp - Hotel'!F21*1000</f>
        <v>4999.5</v>
      </c>
      <c r="F31" s="70" t="n">
        <f aca="false">'Comp - Hotel'!G21*1000</f>
        <v>10000.5</v>
      </c>
      <c r="G31" s="70" t="n">
        <f aca="false">'Comp - Hotel'!H21*1000</f>
        <v>0</v>
      </c>
      <c r="H31" s="70" t="n">
        <f aca="false">'Comp - Hotel'!I21*1000</f>
        <v>0</v>
      </c>
      <c r="I31" s="70" t="n">
        <f aca="false">'Comp - Hotel'!J21*1000</f>
        <v>0</v>
      </c>
      <c r="J31" s="70" t="n">
        <f aca="false">'Comp - Hotel'!K21*1000</f>
        <v>0</v>
      </c>
      <c r="K31" s="70" t="n">
        <f aca="false">'Comp - Hotel'!L21*1000</f>
        <v>0</v>
      </c>
      <c r="L31" s="70" t="n">
        <f aca="false">'Comp - Hotel'!M21*1000</f>
        <v>0</v>
      </c>
      <c r="M31" s="70" t="n">
        <f aca="false">'Comp - Hotel'!N21*1000</f>
        <v>0</v>
      </c>
      <c r="N31" s="70" t="n">
        <f aca="false">'Comp - Hotel'!O21*1000</f>
        <v>0</v>
      </c>
      <c r="O31" s="70" t="n">
        <f aca="false">'Comp - Hotel'!P21*1000</f>
        <v>0</v>
      </c>
      <c r="P31" s="70" t="n">
        <f aca="false">'Comp - Hotel'!Q21*1000</f>
        <v>0</v>
      </c>
      <c r="Q31" s="70" t="n">
        <f aca="false">'Comp - Hotel'!R21*1000</f>
        <v>0</v>
      </c>
    </row>
    <row r="32" customFormat="false" ht="15" hidden="false" customHeight="true" outlineLevel="0" collapsed="false">
      <c r="A32" s="75" t="s">
        <v>542</v>
      </c>
      <c r="B32" s="68" t="n">
        <f aca="false">SUM(C32:Q32)</f>
        <v>215269.39361792</v>
      </c>
      <c r="C32" s="74" t="n">
        <f aca="false">SUM(C23:C31)</f>
        <v>0</v>
      </c>
      <c r="D32" s="74" t="n">
        <f aca="false">SUM(D23:D31)</f>
        <v>40053.878723584</v>
      </c>
      <c r="E32" s="74" t="n">
        <f aca="false">SUM(E23:E31)</f>
        <v>115147.666489856</v>
      </c>
      <c r="F32" s="74" t="n">
        <f aca="false">SUM(F23:F31)</f>
        <v>60067.84840448</v>
      </c>
      <c r="G32" s="74" t="n">
        <f aca="false">SUM(G23:G31)</f>
        <v>0</v>
      </c>
      <c r="H32" s="74" t="n">
        <f aca="false">SUM(H23:H31)</f>
        <v>0</v>
      </c>
      <c r="I32" s="74" t="n">
        <f aca="false">SUM(I23:I31)</f>
        <v>0</v>
      </c>
      <c r="J32" s="74" t="n">
        <f aca="false">SUM(J23:J31)</f>
        <v>0</v>
      </c>
      <c r="K32" s="74" t="n">
        <f aca="false">SUM(K23:K31)</f>
        <v>0</v>
      </c>
      <c r="L32" s="74" t="n">
        <f aca="false">SUM(L23:L31)</f>
        <v>0</v>
      </c>
      <c r="M32" s="74" t="n">
        <f aca="false">SUM(M23:M31)</f>
        <v>0</v>
      </c>
      <c r="N32" s="74" t="n">
        <f aca="false">SUM(N23:N31)</f>
        <v>0</v>
      </c>
      <c r="O32" s="74" t="n">
        <f aca="false">SUM(O23:O31)</f>
        <v>0</v>
      </c>
      <c r="P32" s="74" t="n">
        <f aca="false">SUM(P23:P31)</f>
        <v>0</v>
      </c>
      <c r="Q32" s="74" t="n">
        <f aca="false">SUM(Q23:Q31)</f>
        <v>0</v>
      </c>
    </row>
    <row r="34" customFormat="false" ht="15" hidden="false" customHeight="true" outlineLevel="0" collapsed="false">
      <c r="A34" s="64" t="s">
        <v>543</v>
      </c>
      <c r="B34" s="65" t="n">
        <f aca="false">SUM(C34:Q34)</f>
        <v>243013.575934969</v>
      </c>
      <c r="C34" s="66" t="n">
        <f aca="false">C20-C32</f>
        <v>0</v>
      </c>
      <c r="D34" s="66" t="n">
        <f aca="false">D20-D32</f>
        <v>-40053.878723584</v>
      </c>
      <c r="E34" s="66" t="n">
        <f aca="false">E20-E32</f>
        <v>-115147.666489856</v>
      </c>
      <c r="F34" s="66" t="n">
        <f aca="false">F20-F32</f>
        <v>-45363.221110715</v>
      </c>
      <c r="G34" s="66" t="n">
        <f aca="false">G20-G32</f>
        <v>33365.8712990541</v>
      </c>
      <c r="H34" s="66" t="n">
        <f aca="false">H20-H32</f>
        <v>37105.0430275908</v>
      </c>
      <c r="I34" s="66" t="n">
        <f aca="false">I20-I32</f>
        <v>37925.0644785005</v>
      </c>
      <c r="J34" s="66" t="n">
        <f aca="false">J20-J32</f>
        <v>38763.2084034754</v>
      </c>
      <c r="K34" s="66" t="n">
        <f aca="false">K20-K32</f>
        <v>39619.8753091922</v>
      </c>
      <c r="L34" s="66" t="n">
        <f aca="false">L20-L32</f>
        <v>40495.4745535253</v>
      </c>
      <c r="M34" s="66" t="n">
        <f aca="false">M20-M32</f>
        <v>41390.4245411582</v>
      </c>
      <c r="N34" s="66" t="n">
        <f aca="false">N20-N32</f>
        <v>42305.1529235178</v>
      </c>
      <c r="O34" s="66" t="n">
        <f aca="false">O20-O32</f>
        <v>43240.0968031276</v>
      </c>
      <c r="P34" s="66" t="n">
        <f aca="false">P20-P32</f>
        <v>44195.7029424767</v>
      </c>
      <c r="Q34" s="66" t="n">
        <f aca="false">Q20-Q32</f>
        <v>45172.4279775054</v>
      </c>
    </row>
    <row r="35" customFormat="false" ht="15" hidden="false" customHeight="true" outlineLevel="0" collapsed="false">
      <c r="A35" s="69" t="s">
        <v>544</v>
      </c>
      <c r="B35" s="65" t="n">
        <f aca="false">SUM(C35:Q35)</f>
        <v>443634.998979731</v>
      </c>
      <c r="C35" s="70" t="n">
        <f aca="false">IF(2026=2040,'Comp - Hotel'!S43/Inputs!$B$197*(1-(1+Inputs!$B$197)^-(Inputs!$B$55-2040))*1000,0)</f>
        <v>0</v>
      </c>
      <c r="D35" s="70" t="n">
        <f aca="false">IF(2027=2040,'Comp - Hotel'!S43/Inputs!$B$197*(1-(1+Inputs!$B$197)^-(Inputs!$B$55-2040))*1000,0)</f>
        <v>0</v>
      </c>
      <c r="E35" s="70" t="n">
        <f aca="false">IF(2028=2040,'Comp - Hotel'!S43/Inputs!$B$197*(1-(1+Inputs!$B$197)^-(Inputs!$B$55-2040))*1000,0)</f>
        <v>0</v>
      </c>
      <c r="F35" s="70" t="n">
        <f aca="false">IF(2029=2040,'Comp - Hotel'!S43/Inputs!$B$197*(1-(1+Inputs!$B$197)^-(Inputs!$B$55-2040))*1000,0)</f>
        <v>0</v>
      </c>
      <c r="G35" s="70" t="n">
        <f aca="false">IF(2030=2040,'Comp - Hotel'!S43/Inputs!$B$197*(1-(1+Inputs!$B$197)^-(Inputs!$B$55-2040))*1000,0)</f>
        <v>0</v>
      </c>
      <c r="H35" s="70" t="n">
        <f aca="false">IF(2031=2040,'Comp - Hotel'!S43/Inputs!$B$197*(1-(1+Inputs!$B$197)^-(Inputs!$B$55-2040))*1000,0)</f>
        <v>0</v>
      </c>
      <c r="I35" s="70" t="n">
        <f aca="false">IF(2032=2040,'Comp - Hotel'!S43/Inputs!$B$197*(1-(1+Inputs!$B$197)^-(Inputs!$B$55-2040))*1000,0)</f>
        <v>0</v>
      </c>
      <c r="J35" s="70" t="n">
        <f aca="false">IF(2033=2040,'Comp - Hotel'!S43/Inputs!$B$197*(1-(1+Inputs!$B$197)^-(Inputs!$B$55-2040))*1000,0)</f>
        <v>0</v>
      </c>
      <c r="K35" s="70" t="n">
        <f aca="false">IF(2034=2040,'Comp - Hotel'!S43/Inputs!$B$197*(1-(1+Inputs!$B$197)^-(Inputs!$B$55-2040))*1000,0)</f>
        <v>0</v>
      </c>
      <c r="L35" s="70" t="n">
        <f aca="false">IF(2035=2040,'Comp - Hotel'!S43/Inputs!$B$197*(1-(1+Inputs!$B$197)^-(Inputs!$B$55-2040))*1000,0)</f>
        <v>0</v>
      </c>
      <c r="M35" s="70" t="n">
        <f aca="false">IF(2036=2040,'Comp - Hotel'!S43/Inputs!$B$197*(1-(1+Inputs!$B$197)^-(Inputs!$B$55-2040))*1000,0)</f>
        <v>0</v>
      </c>
      <c r="N35" s="70" t="n">
        <f aca="false">IF(2037=2040,'Comp - Hotel'!S43/Inputs!$B$197*(1-(1+Inputs!$B$197)^-(Inputs!$B$55-2040))*1000,0)</f>
        <v>0</v>
      </c>
      <c r="O35" s="70" t="n">
        <f aca="false">IF(2038=2040,'Comp - Hotel'!S43/Inputs!$B$197*(1-(1+Inputs!$B$197)^-(Inputs!$B$55-2040))*1000,0)</f>
        <v>0</v>
      </c>
      <c r="P35" s="70" t="n">
        <f aca="false">IF(2039=2040,'Comp - Hotel'!S43/Inputs!$B$197*(1-(1+Inputs!$B$197)^-(Inputs!$B$55-2040))*1000,0)</f>
        <v>0</v>
      </c>
      <c r="Q35" s="70" t="n">
        <f aca="false">IF(2040=2040,'Comp - Hotel'!S43/Inputs!$B$197*(1-(1+Inputs!$B$197)^-(Inputs!$B$55-2040))*1000,0)</f>
        <v>443634.998979731</v>
      </c>
    </row>
    <row r="36" customFormat="false" ht="15" hidden="false" customHeight="true" outlineLevel="0" collapsed="false">
      <c r="A36" s="75" t="s">
        <v>545</v>
      </c>
      <c r="B36" s="68" t="n">
        <f aca="false">SUM(C36:Q36)</f>
        <v>686648.5749147</v>
      </c>
      <c r="C36" s="74" t="n">
        <f aca="false">C34+C35</f>
        <v>0</v>
      </c>
      <c r="D36" s="74" t="n">
        <f aca="false">D34+D35</f>
        <v>-40053.878723584</v>
      </c>
      <c r="E36" s="74" t="n">
        <f aca="false">E34+E35</f>
        <v>-115147.666489856</v>
      </c>
      <c r="F36" s="74" t="n">
        <f aca="false">F34+F35</f>
        <v>-45363.221110715</v>
      </c>
      <c r="G36" s="74" t="n">
        <f aca="false">G34+G35</f>
        <v>33365.8712990541</v>
      </c>
      <c r="H36" s="74" t="n">
        <f aca="false">H34+H35</f>
        <v>37105.0430275908</v>
      </c>
      <c r="I36" s="74" t="n">
        <f aca="false">I34+I35</f>
        <v>37925.0644785005</v>
      </c>
      <c r="J36" s="74" t="n">
        <f aca="false">J34+J35</f>
        <v>38763.2084034754</v>
      </c>
      <c r="K36" s="74" t="n">
        <f aca="false">K34+K35</f>
        <v>39619.8753091922</v>
      </c>
      <c r="L36" s="74" t="n">
        <f aca="false">L34+L35</f>
        <v>40495.4745535253</v>
      </c>
      <c r="M36" s="74" t="n">
        <f aca="false">M34+M35</f>
        <v>41390.4245411582</v>
      </c>
      <c r="N36" s="74" t="n">
        <f aca="false">N34+N35</f>
        <v>42305.1529235178</v>
      </c>
      <c r="O36" s="74" t="n">
        <f aca="false">O34+O35</f>
        <v>43240.0968031276</v>
      </c>
      <c r="P36" s="74" t="n">
        <f aca="false">P34+P35</f>
        <v>44195.7029424767</v>
      </c>
      <c r="Q36" s="74" t="n">
        <f aca="false">Q34+Q35</f>
        <v>488807.426957236</v>
      </c>
    </row>
    <row r="37" customFormat="false" ht="15" hidden="false" customHeight="true" outlineLevel="0" collapsed="false">
      <c r="A37" s="71" t="s">
        <v>560</v>
      </c>
      <c r="B37" s="72" t="n">
        <f aca="false">IFERROR(IRR(C36:Q36),0)</f>
        <v>0.189680705903918</v>
      </c>
    </row>
    <row r="39" customFormat="false" ht="15" hidden="false" customHeight="true" outlineLevel="0" collapsed="false">
      <c r="A39" s="73" t="s">
        <v>561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4"/>
    <col collapsed="false" customWidth="true" hidden="false" outlineLevel="0" max="2" min="2" style="1" width="12"/>
    <col collapsed="false" customWidth="true" hidden="false" outlineLevel="0" max="17" min="3" style="1" width="10.51"/>
  </cols>
  <sheetData>
    <row r="1" customFormat="false" ht="15" hidden="false" customHeight="true" outlineLevel="0" collapsed="false">
      <c r="A1" s="55" t="s">
        <v>562</v>
      </c>
    </row>
    <row r="2" customFormat="false" ht="15" hidden="false" customHeight="true" outlineLevel="0" collapsed="false">
      <c r="A2" s="56" t="s">
        <v>500</v>
      </c>
      <c r="B2" s="57" t="s">
        <v>338</v>
      </c>
      <c r="C2" s="57" t="s">
        <v>230</v>
      </c>
      <c r="D2" s="57" t="s">
        <v>231</v>
      </c>
      <c r="E2" s="57" t="s">
        <v>232</v>
      </c>
      <c r="F2" s="57" t="s">
        <v>501</v>
      </c>
      <c r="G2" s="57" t="s">
        <v>502</v>
      </c>
      <c r="H2" s="57" t="s">
        <v>503</v>
      </c>
      <c r="I2" s="57" t="s">
        <v>504</v>
      </c>
      <c r="J2" s="57" t="s">
        <v>505</v>
      </c>
      <c r="K2" s="57" t="s">
        <v>506</v>
      </c>
      <c r="L2" s="57" t="s">
        <v>507</v>
      </c>
      <c r="M2" s="57" t="s">
        <v>508</v>
      </c>
      <c r="N2" s="57" t="s">
        <v>509</v>
      </c>
      <c r="O2" s="57" t="s">
        <v>510</v>
      </c>
      <c r="P2" s="57" t="s">
        <v>511</v>
      </c>
      <c r="Q2" s="57" t="s">
        <v>512</v>
      </c>
    </row>
    <row r="3" customFormat="false" ht="15" hidden="false" customHeight="true" outlineLevel="0" collapsed="false">
      <c r="A3" s="58" t="s">
        <v>549</v>
      </c>
      <c r="C3" s="59" t="s">
        <v>64</v>
      </c>
      <c r="D3" s="59" t="s">
        <v>65</v>
      </c>
      <c r="E3" s="59" t="s">
        <v>66</v>
      </c>
      <c r="F3" s="59" t="s">
        <v>339</v>
      </c>
      <c r="G3" s="59" t="s">
        <v>340</v>
      </c>
      <c r="H3" s="59" t="s">
        <v>341</v>
      </c>
      <c r="I3" s="59" t="s">
        <v>342</v>
      </c>
      <c r="J3" s="59" t="s">
        <v>343</v>
      </c>
      <c r="K3" s="59" t="s">
        <v>344</v>
      </c>
      <c r="L3" s="59" t="s">
        <v>345</v>
      </c>
      <c r="M3" s="59" t="s">
        <v>346</v>
      </c>
      <c r="N3" s="59" t="s">
        <v>347</v>
      </c>
      <c r="O3" s="59" t="s">
        <v>348</v>
      </c>
      <c r="P3" s="59" t="s">
        <v>349</v>
      </c>
      <c r="Q3" s="59" t="s">
        <v>350</v>
      </c>
    </row>
    <row r="4" customFormat="false" ht="15" hidden="false" customHeight="true" outlineLevel="0" collapsed="false">
      <c r="A4" s="60" t="s">
        <v>514</v>
      </c>
    </row>
    <row r="5" customFormat="false" ht="15" hidden="false" customHeight="true" outlineLevel="0" collapsed="false">
      <c r="A5" s="61" t="s">
        <v>563</v>
      </c>
      <c r="C5" s="62" t="n">
        <f aca="false">'Comp - Centre'!D34</f>
        <v>0</v>
      </c>
      <c r="D5" s="62" t="n">
        <f aca="false">'Comp - Centre'!E34</f>
        <v>0</v>
      </c>
      <c r="E5" s="62" t="n">
        <f aca="false">'Comp - Centre'!F34</f>
        <v>1135.11043412034</v>
      </c>
      <c r="F5" s="62" t="n">
        <f aca="false">'Comp - Centre'!G34</f>
        <v>1162.62360614349</v>
      </c>
      <c r="G5" s="62" t="n">
        <f aca="false">'Comp - Centre'!H34</f>
        <v>1182.9158110883</v>
      </c>
      <c r="H5" s="62" t="n">
        <f aca="false">'Comp - Centre'!I34</f>
        <v>1204.60293373799</v>
      </c>
      <c r="I5" s="62" t="n">
        <f aca="false">'Comp - Centre'!J34</f>
        <v>1245.05244409262</v>
      </c>
      <c r="J5" s="62" t="n">
        <f aca="false">'Comp - Centre'!K34</f>
        <v>1285.14468208652</v>
      </c>
      <c r="K5" s="62" t="n">
        <f aca="false">'Comp - Centre'!L34</f>
        <v>1331.93865959864</v>
      </c>
      <c r="L5" s="62" t="n">
        <f aca="false">'Comp - Centre'!M34</f>
        <v>1381.81818181818</v>
      </c>
      <c r="M5" s="62" t="n">
        <f aca="false">'Comp - Centre'!N34</f>
        <v>1417.29289271163</v>
      </c>
      <c r="N5" s="62" t="n">
        <f aca="false">'Comp - Centre'!O34</f>
        <v>1450.54896405171</v>
      </c>
      <c r="O5" s="62" t="n">
        <f aca="false">'Comp - Centre'!P34</f>
        <v>1481.15151515152</v>
      </c>
      <c r="P5" s="62" t="n">
        <f aca="false">'Comp - Centre'!Q34</f>
        <v>1514.52036237406</v>
      </c>
      <c r="Q5" s="62" t="n">
        <f aca="false">'Comp - Centre'!R34</f>
        <v>1549.30043877804</v>
      </c>
    </row>
    <row r="6" customFormat="false" ht="15" hidden="false" customHeight="true" outlineLevel="0" collapsed="false">
      <c r="A6" s="61" t="s">
        <v>564</v>
      </c>
      <c r="C6" s="62" t="n">
        <f aca="false">'Comp - Centre'!D33</f>
        <v>0</v>
      </c>
      <c r="D6" s="62" t="n">
        <f aca="false">'Comp - Centre'!E33</f>
        <v>0</v>
      </c>
      <c r="E6" s="62" t="n">
        <f aca="false">'Comp - Centre'!F33</f>
        <v>91.91</v>
      </c>
      <c r="F6" s="62" t="n">
        <f aca="false">'Comp - Centre'!G33</f>
        <v>95.06</v>
      </c>
      <c r="G6" s="62" t="n">
        <f aca="false">'Comp - Centre'!H33</f>
        <v>97.4</v>
      </c>
      <c r="H6" s="62" t="n">
        <f aca="false">'Comp - Centre'!I33</f>
        <v>98.85</v>
      </c>
      <c r="I6" s="62" t="n">
        <f aca="false">'Comp - Centre'!J33</f>
        <v>101.06</v>
      </c>
      <c r="J6" s="62" t="n">
        <f aca="false">'Comp - Centre'!K33</f>
        <v>103.33</v>
      </c>
      <c r="K6" s="62" t="n">
        <f aca="false">'Comp - Centre'!L33</f>
        <v>105.64</v>
      </c>
      <c r="L6" s="62" t="n">
        <f aca="false">'Comp - Centre'!M33</f>
        <v>108.02</v>
      </c>
      <c r="M6" s="62" t="n">
        <f aca="false">'Comp - Centre'!N33</f>
        <v>110.45</v>
      </c>
      <c r="N6" s="62" t="n">
        <f aca="false">'Comp - Centre'!O33</f>
        <v>112.94</v>
      </c>
      <c r="O6" s="62" t="n">
        <f aca="false">'Comp - Centre'!P33</f>
        <v>115.5</v>
      </c>
      <c r="P6" s="62" t="n">
        <f aca="false">'Comp - Centre'!Q33</f>
        <v>118.11</v>
      </c>
      <c r="Q6" s="62" t="n">
        <f aca="false">'Comp - Centre'!R33</f>
        <v>120.79</v>
      </c>
    </row>
    <row r="7" customFormat="false" ht="15" hidden="false" customHeight="true" outlineLevel="0" collapsed="false">
      <c r="A7" s="61" t="s">
        <v>565</v>
      </c>
      <c r="C7" s="62" t="n">
        <f aca="false">IF('Comp - Centre'!D31&gt;0,IF(Inputs!$B$88=2,'Comp - Centre'!D28,Inputs!$B$198*(1+Inputs!$B$166)^(2026-2028-Inputs!$B$9)),0)</f>
        <v>0</v>
      </c>
      <c r="D7" s="62" t="n">
        <f aca="false">IF('Comp - Centre'!E31&gt;0,IF(Inputs!$B$88=2,'Comp - Centre'!E28,Inputs!$B$198*(1+Inputs!$B$166)^(2027-2028-Inputs!$B$9)),0)</f>
        <v>0</v>
      </c>
      <c r="E7" s="62" t="n">
        <f aca="false">IF('Comp - Centre'!F31&gt;0,IF(Inputs!$B$88=2,'Comp - Centre'!F28,Inputs!$B$198*(1+Inputs!$B$166)^(2028-2028-Inputs!$B$9)),0)</f>
        <v>77.48</v>
      </c>
      <c r="F7" s="62" t="n">
        <f aca="false">IF('Comp - Centre'!G31&gt;0,IF(Inputs!$B$88=2,'Comp - Centre'!G28,Inputs!$B$198*(1+Inputs!$B$166)^(2029-2028-Inputs!$B$9)),0)</f>
        <v>80.33</v>
      </c>
      <c r="G7" s="62" t="n">
        <f aca="false">IF('Comp - Centre'!H31&gt;0,IF(Inputs!$B$88=2,'Comp - Centre'!H28,Inputs!$B$198*(1+Inputs!$B$166)^(2030-2028-Inputs!$B$9)),0)</f>
        <v>82.38</v>
      </c>
      <c r="H7" s="62" t="n">
        <f aca="false">IF('Comp - Centre'!I31&gt;0,IF(Inputs!$B$88=2,'Comp - Centre'!I28,Inputs!$B$198*(1+Inputs!$B$166)^(2031-2028-Inputs!$B$9)),0)</f>
        <v>83.53</v>
      </c>
      <c r="I7" s="62" t="n">
        <f aca="false">IF('Comp - Centre'!J31&gt;0,IF(Inputs!$B$88=2,'Comp - Centre'!J28,Inputs!$B$198*(1+Inputs!$B$166)^(2032-2028-Inputs!$B$9)),0)</f>
        <v>85.44</v>
      </c>
      <c r="J7" s="62" t="n">
        <f aca="false">IF('Comp - Centre'!K31&gt;0,IF(Inputs!$B$88=2,'Comp - Centre'!K28,Inputs!$B$198*(1+Inputs!$B$166)^(2033-2028-Inputs!$B$9)),0)</f>
        <v>87.39</v>
      </c>
      <c r="K7" s="62" t="n">
        <f aca="false">IF('Comp - Centre'!L31&gt;0,IF(Inputs!$B$88=2,'Comp - Centre'!L28,Inputs!$B$198*(1+Inputs!$B$166)^(2034-2028-Inputs!$B$9)),0)</f>
        <v>89.39</v>
      </c>
      <c r="L7" s="62" t="n">
        <f aca="false">IF('Comp - Centre'!M31&gt;0,IF(Inputs!$B$88=2,'Comp - Centre'!M28,Inputs!$B$198*(1+Inputs!$B$166)^(2035-2028-Inputs!$B$9)),0)</f>
        <v>91.44</v>
      </c>
      <c r="M7" s="62" t="n">
        <f aca="false">IF('Comp - Centre'!N31&gt;0,IF(Inputs!$B$88=2,'Comp - Centre'!N28,Inputs!$B$198*(1+Inputs!$B$166)^(2036-2028-Inputs!$B$9)),0)</f>
        <v>93.54</v>
      </c>
      <c r="N7" s="62" t="n">
        <f aca="false">IF('Comp - Centre'!O31&gt;0,IF(Inputs!$B$88=2,'Comp - Centre'!O28,Inputs!$B$198*(1+Inputs!$B$166)^(2037-2028-Inputs!$B$9)),0)</f>
        <v>95.69</v>
      </c>
      <c r="O7" s="62" t="n">
        <f aca="false">IF('Comp - Centre'!P31&gt;0,IF(Inputs!$B$88=2,'Comp - Centre'!P28,Inputs!$B$198*(1+Inputs!$B$166)^(2038-2028-Inputs!$B$9)),0)</f>
        <v>97.9</v>
      </c>
      <c r="P7" s="62" t="n">
        <f aca="false">IF('Comp - Centre'!Q31&gt;0,IF(Inputs!$B$88=2,'Comp - Centre'!Q28,Inputs!$B$198*(1+Inputs!$B$166)^(2039-2028-Inputs!$B$9)),0)</f>
        <v>100.16</v>
      </c>
      <c r="Q7" s="62" t="n">
        <f aca="false">IF('Comp - Centre'!R31&gt;0,IF(Inputs!$B$88=2,'Comp - Centre'!R28,Inputs!$B$198*(1+Inputs!$B$166)^(2040-2028-Inputs!$B$9)),0)</f>
        <v>102.49</v>
      </c>
    </row>
    <row r="8" customFormat="false" ht="15" hidden="false" customHeight="true" outlineLevel="0" collapsed="false">
      <c r="A8" s="61" t="s">
        <v>566</v>
      </c>
      <c r="C8" s="76" t="n">
        <f aca="false">'Comp - Centre'!D31</f>
        <v>0</v>
      </c>
      <c r="D8" s="76" t="n">
        <f aca="false">'Comp - Centre'!E31</f>
        <v>0</v>
      </c>
      <c r="E8" s="76" t="n">
        <f aca="false">'Comp - Centre'!F31</f>
        <v>0.25</v>
      </c>
      <c r="F8" s="76" t="n">
        <f aca="false">'Comp - Centre'!G31</f>
        <v>1</v>
      </c>
      <c r="G8" s="76" t="n">
        <f aca="false">'Comp - Centre'!H31</f>
        <v>1</v>
      </c>
      <c r="H8" s="76" t="n">
        <f aca="false">'Comp - Centre'!I31</f>
        <v>1</v>
      </c>
      <c r="I8" s="76" t="n">
        <f aca="false">'Comp - Centre'!J31</f>
        <v>1</v>
      </c>
      <c r="J8" s="76" t="n">
        <f aca="false">'Comp - Centre'!K31</f>
        <v>1</v>
      </c>
      <c r="K8" s="76" t="n">
        <f aca="false">'Comp - Centre'!L31</f>
        <v>1</v>
      </c>
      <c r="L8" s="76" t="n">
        <f aca="false">'Comp - Centre'!M31</f>
        <v>1</v>
      </c>
      <c r="M8" s="76" t="n">
        <f aca="false">'Comp - Centre'!N31</f>
        <v>1</v>
      </c>
      <c r="N8" s="76" t="n">
        <f aca="false">'Comp - Centre'!O31</f>
        <v>1</v>
      </c>
      <c r="O8" s="76" t="n">
        <f aca="false">'Comp - Centre'!P31</f>
        <v>1</v>
      </c>
      <c r="P8" s="76" t="n">
        <f aca="false">'Comp - Centre'!Q31</f>
        <v>1</v>
      </c>
      <c r="Q8" s="76" t="n">
        <f aca="false">'Comp - Centre'!R31</f>
        <v>1</v>
      </c>
    </row>
    <row r="9" customFormat="false" ht="15" hidden="false" customHeight="true" outlineLevel="0" collapsed="false">
      <c r="A9" s="61" t="s">
        <v>567</v>
      </c>
      <c r="C9" s="63" t="n">
        <f aca="false">IF('Comp - Centre'!D32&gt;0,'Comp - Centre'!D38/'Comp - Centre'!D32,0)</f>
        <v>0</v>
      </c>
      <c r="D9" s="63" t="n">
        <f aca="false">IF('Comp - Centre'!E32&gt;0,'Comp - Centre'!E38/'Comp - Centre'!E32,0)</f>
        <v>0</v>
      </c>
      <c r="E9" s="63" t="n">
        <f aca="false">IF('Comp - Centre'!F32&gt;0,'Comp - Centre'!F38/'Comp - Centre'!F32,0)</f>
        <v>0.278007821486082</v>
      </c>
      <c r="F9" s="63" t="n">
        <f aca="false">IF('Comp - Centre'!G32&gt;0,'Comp - Centre'!G38/'Comp - Centre'!G32,0)</f>
        <v>0.316036156678942</v>
      </c>
      <c r="G9" s="63" t="n">
        <f aca="false">IF('Comp - Centre'!H32&gt;0,'Comp - Centre'!H38/'Comp - Centre'!H32,0)</f>
        <v>0.324709675739481</v>
      </c>
      <c r="H9" s="63" t="n">
        <f aca="false">IF('Comp - Centre'!I32&gt;0,'Comp - Centre'!I38/'Comp - Centre'!I32,0)</f>
        <v>0.32930689691371</v>
      </c>
      <c r="I9" s="63" t="n">
        <f aca="false">IF('Comp - Centre'!J32&gt;0,'Comp - Centre'!J38/'Comp - Centre'!J32,0)</f>
        <v>0.341461348847606</v>
      </c>
      <c r="J9" s="63" t="n">
        <f aca="false">IF('Comp - Centre'!K32&gt;0,'Comp - Centre'!K38/'Comp - Centre'!K32,0)</f>
        <v>0.353526391058472</v>
      </c>
      <c r="K9" s="63" t="n">
        <f aca="false">IF('Comp - Centre'!L32&gt;0,'Comp - Centre'!L38/'Comp - Centre'!L32,0)</f>
        <v>0.366285824084078</v>
      </c>
      <c r="L9" s="63" t="n">
        <f aca="false">IF('Comp - Centre'!M32&gt;0,'Comp - Centre'!M38/'Comp - Centre'!M32,0)</f>
        <v>0.379084229905828</v>
      </c>
      <c r="M9" s="63" t="n">
        <f aca="false">IF('Comp - Centre'!N32&gt;0,'Comp - Centre'!N38/'Comp - Centre'!N32,0)</f>
        <v>0.388355654816534</v>
      </c>
      <c r="N9" s="63" t="n">
        <f aca="false">IF('Comp - Centre'!O32&gt;0,'Comp - Centre'!O38/'Comp - Centre'!O32,0)</f>
        <v>0.396351436350402</v>
      </c>
      <c r="O9" s="63" t="n">
        <f aca="false">IF('Comp - Centre'!P32&gt;0,'Comp - Centre'!P38/'Comp - Centre'!P32,0)</f>
        <v>0.403505117181597</v>
      </c>
      <c r="P9" s="63" t="n">
        <f aca="false">IF('Comp - Centre'!Q32&gt;0,'Comp - Centre'!Q38/'Comp - Centre'!Q32,0)</f>
        <v>0.410749254720469</v>
      </c>
      <c r="Q9" s="63" t="n">
        <f aca="false">IF('Comp - Centre'!R32&gt;0,'Comp - Centre'!R38/'Comp - Centre'!R32,0)</f>
        <v>0.417998409487589</v>
      </c>
    </row>
    <row r="11" customFormat="false" ht="15" hidden="false" customHeight="true" outlineLevel="0" collapsed="false">
      <c r="A11" s="60" t="s">
        <v>523</v>
      </c>
    </row>
    <row r="12" customFormat="false" ht="15" hidden="false" customHeight="true" outlineLevel="0" collapsed="false">
      <c r="A12" s="64" t="s">
        <v>426</v>
      </c>
      <c r="B12" s="65" t="n">
        <f aca="false">SUM(C12:Q12)</f>
        <v>1776939</v>
      </c>
      <c r="C12" s="66" t="n">
        <f aca="false">'Comp - Centre'!D32*1000</f>
        <v>0</v>
      </c>
      <c r="D12" s="66" t="n">
        <f aca="false">'Comp - Centre'!E32*1000</f>
        <v>0</v>
      </c>
      <c r="E12" s="66" t="n">
        <f aca="false">'Comp - Centre'!F32*1000</f>
        <v>26082</v>
      </c>
      <c r="F12" s="66" t="n">
        <f aca="false">'Comp - Centre'!G32*1000</f>
        <v>110519</v>
      </c>
      <c r="G12" s="66" t="n">
        <f aca="false">'Comp - Centre'!H32*1000</f>
        <v>115216</v>
      </c>
      <c r="H12" s="66" t="n">
        <f aca="false">'Comp - Centre'!I32*1000</f>
        <v>119075</v>
      </c>
      <c r="I12" s="66" t="n">
        <f aca="false">'Comp - Centre'!J32*1000</f>
        <v>125825</v>
      </c>
      <c r="J12" s="66" t="n">
        <f aca="false">'Comp - Centre'!K32*1000</f>
        <v>132794</v>
      </c>
      <c r="K12" s="66" t="n">
        <f aca="false">'Comp - Centre'!L32*1000</f>
        <v>140706</v>
      </c>
      <c r="L12" s="66" t="n">
        <f aca="false">'Comp - Centre'!M32*1000</f>
        <v>149264</v>
      </c>
      <c r="M12" s="66" t="n">
        <f aca="false">'Comp - Centre'!N32*1000</f>
        <v>156540</v>
      </c>
      <c r="N12" s="66" t="n">
        <f aca="false">'Comp - Centre'!O32*1000</f>
        <v>163825</v>
      </c>
      <c r="O12" s="66" t="n">
        <f aca="false">'Comp - Centre'!P32*1000</f>
        <v>171073</v>
      </c>
      <c r="P12" s="66" t="n">
        <f aca="false">'Comp - Centre'!Q32*1000</f>
        <v>178880</v>
      </c>
      <c r="Q12" s="66" t="n">
        <f aca="false">'Comp - Centre'!R32*1000</f>
        <v>187140</v>
      </c>
    </row>
    <row r="13" customFormat="false" ht="15" hidden="false" customHeight="true" outlineLevel="0" collapsed="false">
      <c r="A13" s="64" t="s">
        <v>568</v>
      </c>
      <c r="B13" s="65" t="n">
        <f aca="false">SUM(C13:Q13)</f>
        <v>663289.116411804</v>
      </c>
      <c r="C13" s="66" t="n">
        <f aca="false">'Comp - Centre'!D38*1000</f>
        <v>0</v>
      </c>
      <c r="D13" s="66" t="n">
        <f aca="false">'Comp - Centre'!E38*1000</f>
        <v>0</v>
      </c>
      <c r="E13" s="66" t="n">
        <f aca="false">'Comp - Centre'!F38*1000</f>
        <v>7251</v>
      </c>
      <c r="F13" s="66" t="n">
        <f aca="false">'Comp - Centre'!G38*1000</f>
        <v>34928</v>
      </c>
      <c r="G13" s="66" t="n">
        <f aca="false">'Comp - Centre'!H38*1000</f>
        <v>37411.75</v>
      </c>
      <c r="H13" s="66" t="n">
        <f aca="false">'Comp - Centre'!I38*1000</f>
        <v>39212.21875</v>
      </c>
      <c r="I13" s="66" t="n">
        <f aca="false">'Comp - Centre'!J38*1000</f>
        <v>42964.37421875</v>
      </c>
      <c r="J13" s="66" t="n">
        <f aca="false">'Comp - Centre'!K38*1000</f>
        <v>46946.1835742188</v>
      </c>
      <c r="K13" s="66" t="n">
        <f aca="false">'Comp - Centre'!L38*1000</f>
        <v>51538.6131635742</v>
      </c>
      <c r="L13" s="66" t="n">
        <f aca="false">'Comp - Centre'!M38*1000</f>
        <v>56583.6284926636</v>
      </c>
      <c r="M13" s="66" t="n">
        <f aca="false">'Comp - Centre'!N38*1000</f>
        <v>60793.1942049802</v>
      </c>
      <c r="N13" s="66" t="n">
        <f aca="false">'Comp - Centre'!O38*1000</f>
        <v>64932.2740601047</v>
      </c>
      <c r="O13" s="66" t="n">
        <f aca="false">'Comp - Centre'!P38*1000</f>
        <v>69028.8309116073</v>
      </c>
      <c r="P13" s="66" t="n">
        <f aca="false">'Comp - Centre'!Q38*1000</f>
        <v>73474.8266843975</v>
      </c>
      <c r="Q13" s="66" t="n">
        <f aca="false">'Comp - Centre'!R38*1000</f>
        <v>78224.2223515074</v>
      </c>
    </row>
    <row r="14" customFormat="false" ht="15" hidden="false" customHeight="true" outlineLevel="0" collapsed="false">
      <c r="A14" s="61" t="s">
        <v>529</v>
      </c>
      <c r="B14" s="65" t="n">
        <f aca="false">SUM(C14:Q14)</f>
        <v>0</v>
      </c>
      <c r="C14" s="62" t="n">
        <f aca="false">'Comp - Centre'!D41*1000</f>
        <v>-0</v>
      </c>
      <c r="D14" s="62" t="n">
        <f aca="false">'Comp - Centre'!E41*1000</f>
        <v>-0</v>
      </c>
      <c r="E14" s="62" t="n">
        <f aca="false">'Comp - Centre'!F41*1000</f>
        <v>-0</v>
      </c>
      <c r="F14" s="62" t="n">
        <f aca="false">'Comp - Centre'!G41*1000</f>
        <v>-0</v>
      </c>
      <c r="G14" s="62" t="n">
        <f aca="false">'Comp - Centre'!H41*1000</f>
        <v>-0</v>
      </c>
      <c r="H14" s="62" t="n">
        <f aca="false">'Comp - Centre'!I41*1000</f>
        <v>-0</v>
      </c>
      <c r="I14" s="62" t="n">
        <f aca="false">'Comp - Centre'!J41*1000</f>
        <v>-0</v>
      </c>
      <c r="J14" s="62" t="n">
        <f aca="false">'Comp - Centre'!K41*1000</f>
        <v>-0</v>
      </c>
      <c r="K14" s="62" t="n">
        <f aca="false">'Comp - Centre'!L41*1000</f>
        <v>-0</v>
      </c>
      <c r="L14" s="62" t="n">
        <f aca="false">'Comp - Centre'!M41*1000</f>
        <v>-0</v>
      </c>
      <c r="M14" s="62" t="n">
        <f aca="false">'Comp - Centre'!N41*1000</f>
        <v>-0</v>
      </c>
      <c r="N14" s="62" t="n">
        <f aca="false">'Comp - Centre'!O41*1000</f>
        <v>-0</v>
      </c>
      <c r="O14" s="62" t="n">
        <f aca="false">'Comp - Centre'!P41*1000</f>
        <v>-0</v>
      </c>
      <c r="P14" s="62" t="n">
        <f aca="false">'Comp - Centre'!Q41*1000</f>
        <v>-0</v>
      </c>
      <c r="Q14" s="62" t="n">
        <f aca="false">'Comp - Centre'!R41*1000</f>
        <v>-0</v>
      </c>
    </row>
    <row r="15" customFormat="false" ht="15" hidden="false" customHeight="true" outlineLevel="0" collapsed="false">
      <c r="A15" s="61" t="s">
        <v>528</v>
      </c>
      <c r="B15" s="65" t="n">
        <f aca="false">SUM(C15:Q15)</f>
        <v>-35538.78</v>
      </c>
      <c r="C15" s="62" t="n">
        <f aca="false">'Comp - Centre'!D42*1000</f>
        <v>-0</v>
      </c>
      <c r="D15" s="62" t="n">
        <f aca="false">'Comp - Centre'!E42*1000</f>
        <v>-0</v>
      </c>
      <c r="E15" s="62" t="n">
        <f aca="false">'Comp - Centre'!F42*1000</f>
        <v>-521.64</v>
      </c>
      <c r="F15" s="62" t="n">
        <f aca="false">'Comp - Centre'!G42*1000</f>
        <v>-2210.38</v>
      </c>
      <c r="G15" s="62" t="n">
        <f aca="false">'Comp - Centre'!H42*1000</f>
        <v>-2304.32</v>
      </c>
      <c r="H15" s="62" t="n">
        <f aca="false">'Comp - Centre'!I42*1000</f>
        <v>-2381.5</v>
      </c>
      <c r="I15" s="62" t="n">
        <f aca="false">'Comp - Centre'!J42*1000</f>
        <v>-2516.5</v>
      </c>
      <c r="J15" s="62" t="n">
        <f aca="false">'Comp - Centre'!K42*1000</f>
        <v>-2655.88</v>
      </c>
      <c r="K15" s="62" t="n">
        <f aca="false">'Comp - Centre'!L42*1000</f>
        <v>-2814.12</v>
      </c>
      <c r="L15" s="62" t="n">
        <f aca="false">'Comp - Centre'!M42*1000</f>
        <v>-2985.28</v>
      </c>
      <c r="M15" s="62" t="n">
        <f aca="false">'Comp - Centre'!N42*1000</f>
        <v>-3130.8</v>
      </c>
      <c r="N15" s="62" t="n">
        <f aca="false">'Comp - Centre'!O42*1000</f>
        <v>-3276.5</v>
      </c>
      <c r="O15" s="62" t="n">
        <f aca="false">'Comp - Centre'!P42*1000</f>
        <v>-3421.46</v>
      </c>
      <c r="P15" s="62" t="n">
        <f aca="false">'Comp - Centre'!Q42*1000</f>
        <v>-3577.6</v>
      </c>
      <c r="Q15" s="62" t="n">
        <f aca="false">'Comp - Centre'!R42*1000</f>
        <v>-3742.8</v>
      </c>
    </row>
    <row r="16" customFormat="false" ht="15" hidden="false" customHeight="true" outlineLevel="0" collapsed="false">
      <c r="A16" s="61" t="s">
        <v>557</v>
      </c>
      <c r="B16" s="65" t="n">
        <f aca="false">SUM(C16:Q16)</f>
        <v>-20778.6811148683</v>
      </c>
      <c r="C16" s="62" t="n">
        <f aca="false">'Comp - Centre'!D43*1000</f>
        <v>-0</v>
      </c>
      <c r="D16" s="62" t="n">
        <f aca="false">'Comp - Centre'!E43*1000</f>
        <v>-0</v>
      </c>
      <c r="E16" s="62" t="n">
        <f aca="false">'Comp - Centre'!F43*1000</f>
        <v>-1222.27535969813</v>
      </c>
      <c r="F16" s="62" t="n">
        <f aca="false">'Comp - Centre'!G43*1000</f>
        <v>-1629.70047959751</v>
      </c>
      <c r="G16" s="62" t="n">
        <f aca="false">'Comp - Centre'!H43*1000</f>
        <v>-1629.70047959751</v>
      </c>
      <c r="H16" s="62" t="n">
        <f aca="false">'Comp - Centre'!I43*1000</f>
        <v>-1629.70047959751</v>
      </c>
      <c r="I16" s="62" t="n">
        <f aca="false">'Comp - Centre'!J43*1000</f>
        <v>-1629.70047959751</v>
      </c>
      <c r="J16" s="62" t="n">
        <f aca="false">'Comp - Centre'!K43*1000</f>
        <v>-1629.70047959751</v>
      </c>
      <c r="K16" s="62" t="n">
        <f aca="false">'Comp - Centre'!L43*1000</f>
        <v>-1629.70047959751</v>
      </c>
      <c r="L16" s="62" t="n">
        <f aca="false">'Comp - Centre'!M43*1000</f>
        <v>-1629.70047959751</v>
      </c>
      <c r="M16" s="62" t="n">
        <f aca="false">'Comp - Centre'!N43*1000</f>
        <v>-1629.70047959751</v>
      </c>
      <c r="N16" s="62" t="n">
        <f aca="false">'Comp - Centre'!O43*1000</f>
        <v>-1629.70047959751</v>
      </c>
      <c r="O16" s="62" t="n">
        <f aca="false">'Comp - Centre'!P43*1000</f>
        <v>-1629.70047959751</v>
      </c>
      <c r="P16" s="62" t="n">
        <f aca="false">'Comp - Centre'!Q43*1000</f>
        <v>-1629.70047959751</v>
      </c>
      <c r="Q16" s="62" t="n">
        <f aca="false">'Comp - Centre'!R43*1000</f>
        <v>-1629.70047959751</v>
      </c>
    </row>
    <row r="17" customFormat="false" ht="15" hidden="false" customHeight="true" outlineLevel="0" collapsed="false">
      <c r="A17" s="61" t="s">
        <v>558</v>
      </c>
      <c r="B17" s="65" t="n">
        <f aca="false">SUM(C17:Q17)</f>
        <v>-114825.376427198</v>
      </c>
      <c r="C17" s="62" t="n">
        <f aca="false">'Comp - Centre'!D44*1000</f>
        <v>-0</v>
      </c>
      <c r="D17" s="62" t="n">
        <f aca="false">'Comp - Centre'!E44*1000</f>
        <v>-0</v>
      </c>
      <c r="E17" s="62" t="n">
        <f aca="false">'Comp - Centre'!F44*1000</f>
        <v>-3921.51336831534</v>
      </c>
      <c r="F17" s="62" t="n">
        <f aca="false">'Comp - Centre'!G44*1000</f>
        <v>-8039.10240504644</v>
      </c>
      <c r="G17" s="62" t="n">
        <f aca="false">'Comp - Centre'!H44*1000</f>
        <v>-8240.0799651726</v>
      </c>
      <c r="H17" s="62" t="n">
        <f aca="false">'Comp - Centre'!I44*1000</f>
        <v>-8446.08196430192</v>
      </c>
      <c r="I17" s="62" t="n">
        <f aca="false">'Comp - Centre'!J44*1000</f>
        <v>-8657.23401340946</v>
      </c>
      <c r="J17" s="62" t="n">
        <f aca="false">'Comp - Centre'!K44*1000</f>
        <v>-8873.6648637447</v>
      </c>
      <c r="K17" s="62" t="n">
        <f aca="false">'Comp - Centre'!L44*1000</f>
        <v>-9095.50648533831</v>
      </c>
      <c r="L17" s="62" t="n">
        <f aca="false">'Comp - Centre'!M44*1000</f>
        <v>-9322.89414747177</v>
      </c>
      <c r="M17" s="62" t="n">
        <f aca="false">'Comp - Centre'!N44*1000</f>
        <v>-9555.96650115856</v>
      </c>
      <c r="N17" s="62" t="n">
        <f aca="false">'Comp - Centre'!O44*1000</f>
        <v>-9794.86566368753</v>
      </c>
      <c r="O17" s="62" t="n">
        <f aca="false">'Comp - Centre'!P44*1000</f>
        <v>-10039.7373052797</v>
      </c>
      <c r="P17" s="62" t="n">
        <f aca="false">'Comp - Centre'!Q44*1000</f>
        <v>-10290.7307379117</v>
      </c>
      <c r="Q17" s="62" t="n">
        <f aca="false">'Comp - Centre'!R44*1000</f>
        <v>-10547.9990063595</v>
      </c>
    </row>
    <row r="18" customFormat="false" ht="15" hidden="false" customHeight="true" outlineLevel="0" collapsed="false">
      <c r="A18" s="67" t="s">
        <v>559</v>
      </c>
      <c r="B18" s="68" t="n">
        <f aca="false">SUM(C18:Q18)</f>
        <v>492146.278869738</v>
      </c>
      <c r="C18" s="74" t="n">
        <f aca="false">SUM(C13:C17)</f>
        <v>0</v>
      </c>
      <c r="D18" s="74" t="n">
        <f aca="false">SUM(D13:D17)</f>
        <v>0</v>
      </c>
      <c r="E18" s="74" t="n">
        <f aca="false">SUM(E13:E17)</f>
        <v>1585.57127198653</v>
      </c>
      <c r="F18" s="74" t="n">
        <f aca="false">SUM(F13:F17)</f>
        <v>23048.8171153561</v>
      </c>
      <c r="G18" s="74" t="n">
        <f aca="false">SUM(G13:G17)</f>
        <v>25237.6495552299</v>
      </c>
      <c r="H18" s="74" t="n">
        <f aca="false">SUM(H13:H17)</f>
        <v>26754.9363061006</v>
      </c>
      <c r="I18" s="74" t="n">
        <f aca="false">SUM(I13:I17)</f>
        <v>30160.939725743</v>
      </c>
      <c r="J18" s="74" t="n">
        <f aca="false">SUM(J13:J17)</f>
        <v>33786.9382308766</v>
      </c>
      <c r="K18" s="74" t="n">
        <f aca="false">SUM(K13:K17)</f>
        <v>37999.2861986384</v>
      </c>
      <c r="L18" s="74" t="n">
        <f aca="false">SUM(L13:L17)</f>
        <v>42645.7538655943</v>
      </c>
      <c r="M18" s="74" t="n">
        <f aca="false">SUM(M13:M17)</f>
        <v>46476.7272242241</v>
      </c>
      <c r="N18" s="74" t="n">
        <f aca="false">SUM(N13:N17)</f>
        <v>50231.2079168196</v>
      </c>
      <c r="O18" s="74" t="n">
        <f aca="false">SUM(O13:O17)</f>
        <v>53937.9331267301</v>
      </c>
      <c r="P18" s="74" t="n">
        <f aca="false">SUM(P13:P17)</f>
        <v>57976.7954668883</v>
      </c>
      <c r="Q18" s="74" t="n">
        <f aca="false">SUM(Q13:Q17)</f>
        <v>62303.7228655504</v>
      </c>
    </row>
    <row r="20" customFormat="false" ht="15" hidden="false" customHeight="true" outlineLevel="0" collapsed="false">
      <c r="A20" s="60" t="s">
        <v>7</v>
      </c>
    </row>
    <row r="21" customFormat="false" ht="15" hidden="false" customHeight="true" outlineLevel="0" collapsed="false">
      <c r="A21" s="69" t="s">
        <v>532</v>
      </c>
      <c r="B21" s="65" t="n">
        <f aca="false">SUM(C21:Q21)</f>
        <v>12565.3474281101</v>
      </c>
      <c r="C21" s="70" t="n">
        <f aca="false">'Comp - Centre'!D6*1000</f>
        <v>2899.69556033309</v>
      </c>
      <c r="D21" s="70" t="n">
        <f aca="false">'Comp - Centre'!E6*1000</f>
        <v>9665.65186777698</v>
      </c>
      <c r="E21" s="70" t="n">
        <f aca="false">'Comp - Centre'!F6*1000</f>
        <v>0</v>
      </c>
      <c r="F21" s="70" t="n">
        <f aca="false">'Comp - Centre'!G6*1000</f>
        <v>0</v>
      </c>
      <c r="G21" s="70" t="n">
        <f aca="false">'Comp - Centre'!H6*1000</f>
        <v>0</v>
      </c>
      <c r="H21" s="70" t="n">
        <f aca="false">'Comp - Centre'!I6*1000</f>
        <v>0</v>
      </c>
      <c r="I21" s="70" t="n">
        <f aca="false">'Comp - Centre'!J6*1000</f>
        <v>0</v>
      </c>
      <c r="J21" s="70" t="n">
        <f aca="false">'Comp - Centre'!K6*1000</f>
        <v>0</v>
      </c>
      <c r="K21" s="70" t="n">
        <f aca="false">'Comp - Centre'!L6*1000</f>
        <v>0</v>
      </c>
      <c r="L21" s="70" t="n">
        <f aca="false">'Comp - Centre'!M6*1000</f>
        <v>0</v>
      </c>
      <c r="M21" s="70" t="n">
        <f aca="false">'Comp - Centre'!N6*1000</f>
        <v>0</v>
      </c>
      <c r="N21" s="70" t="n">
        <f aca="false">'Comp - Centre'!O6*1000</f>
        <v>0</v>
      </c>
      <c r="O21" s="70" t="n">
        <f aca="false">'Comp - Centre'!P6*1000</f>
        <v>0</v>
      </c>
      <c r="P21" s="70" t="n">
        <f aca="false">'Comp - Centre'!Q6*1000</f>
        <v>0</v>
      </c>
      <c r="Q21" s="70" t="n">
        <f aca="false">'Comp - Centre'!R6*1000</f>
        <v>0</v>
      </c>
    </row>
    <row r="22" customFormat="false" ht="15" hidden="false" customHeight="true" outlineLevel="0" collapsed="false">
      <c r="A22" s="69" t="s">
        <v>533</v>
      </c>
      <c r="B22" s="65" t="n">
        <f aca="false">SUM(C22:Q22)</f>
        <v>11598.7822413324</v>
      </c>
      <c r="C22" s="70" t="n">
        <f aca="false">'Comp - Centre'!D7*1000</f>
        <v>0</v>
      </c>
      <c r="D22" s="70" t="n">
        <f aca="false">'Comp - Centre'!E7*1000</f>
        <v>6388.99588460058</v>
      </c>
      <c r="E22" s="70" t="n">
        <f aca="false">'Comp - Centre'!F7*1000</f>
        <v>5209.78635673179</v>
      </c>
      <c r="F22" s="70" t="n">
        <f aca="false">'Comp - Centre'!G7*1000</f>
        <v>0</v>
      </c>
      <c r="G22" s="70" t="n">
        <f aca="false">'Comp - Centre'!H7*1000</f>
        <v>0</v>
      </c>
      <c r="H22" s="70" t="n">
        <f aca="false">'Comp - Centre'!I7*1000</f>
        <v>0</v>
      </c>
      <c r="I22" s="70" t="n">
        <f aca="false">'Comp - Centre'!J7*1000</f>
        <v>0</v>
      </c>
      <c r="J22" s="70" t="n">
        <f aca="false">'Comp - Centre'!K7*1000</f>
        <v>0</v>
      </c>
      <c r="K22" s="70" t="n">
        <f aca="false">'Comp - Centre'!L7*1000</f>
        <v>0</v>
      </c>
      <c r="L22" s="70" t="n">
        <f aca="false">'Comp - Centre'!M7*1000</f>
        <v>0</v>
      </c>
      <c r="M22" s="70" t="n">
        <f aca="false">'Comp - Centre'!N7*1000</f>
        <v>0</v>
      </c>
      <c r="N22" s="70" t="n">
        <f aca="false">'Comp - Centre'!O7*1000</f>
        <v>0</v>
      </c>
      <c r="O22" s="70" t="n">
        <f aca="false">'Comp - Centre'!P7*1000</f>
        <v>0</v>
      </c>
      <c r="P22" s="70" t="n">
        <f aca="false">'Comp - Centre'!Q7*1000</f>
        <v>0</v>
      </c>
      <c r="Q22" s="70" t="n">
        <f aca="false">'Comp - Centre'!R7*1000</f>
        <v>0</v>
      </c>
    </row>
    <row r="23" customFormat="false" ht="15" hidden="false" customHeight="true" outlineLevel="0" collapsed="false">
      <c r="A23" s="69" t="s">
        <v>534</v>
      </c>
      <c r="B23" s="65" t="n">
        <f aca="false">SUM(C23:Q23)</f>
        <v>11861.9563074439</v>
      </c>
      <c r="C23" s="70" t="n">
        <f aca="false">'Comp - Centre'!D8*1000</f>
        <v>0</v>
      </c>
      <c r="D23" s="70" t="n">
        <f aca="false">'Comp - Centre'!E8*1000</f>
        <v>7489.97812555742</v>
      </c>
      <c r="E23" s="70" t="n">
        <f aca="false">'Comp - Centre'!F8*1000</f>
        <v>4371.97818188646</v>
      </c>
      <c r="F23" s="70" t="n">
        <f aca="false">'Comp - Centre'!G8*1000</f>
        <v>0</v>
      </c>
      <c r="G23" s="70" t="n">
        <f aca="false">'Comp - Centre'!H8*1000</f>
        <v>0</v>
      </c>
      <c r="H23" s="70" t="n">
        <f aca="false">'Comp - Centre'!I8*1000</f>
        <v>0</v>
      </c>
      <c r="I23" s="70" t="n">
        <f aca="false">'Comp - Centre'!J8*1000</f>
        <v>0</v>
      </c>
      <c r="J23" s="70" t="n">
        <f aca="false">'Comp - Centre'!K8*1000</f>
        <v>0</v>
      </c>
      <c r="K23" s="70" t="n">
        <f aca="false">'Comp - Centre'!L8*1000</f>
        <v>0</v>
      </c>
      <c r="L23" s="70" t="n">
        <f aca="false">'Comp - Centre'!M8*1000</f>
        <v>0</v>
      </c>
      <c r="M23" s="70" t="n">
        <f aca="false">'Comp - Centre'!N8*1000</f>
        <v>0</v>
      </c>
      <c r="N23" s="70" t="n">
        <f aca="false">'Comp - Centre'!O8*1000</f>
        <v>0</v>
      </c>
      <c r="O23" s="70" t="n">
        <f aca="false">'Comp - Centre'!P8*1000</f>
        <v>0</v>
      </c>
      <c r="P23" s="70" t="n">
        <f aca="false">'Comp - Centre'!Q8*1000</f>
        <v>0</v>
      </c>
      <c r="Q23" s="70" t="n">
        <f aca="false">'Comp - Centre'!R8*1000</f>
        <v>0</v>
      </c>
    </row>
    <row r="24" customFormat="false" ht="15" hidden="false" customHeight="true" outlineLevel="0" collapsed="false">
      <c r="A24" s="69" t="s">
        <v>535</v>
      </c>
      <c r="B24" s="65" t="n">
        <f aca="false">SUM(C24:Q24)</f>
        <v>11031.6193659228</v>
      </c>
      <c r="C24" s="70" t="n">
        <f aca="false">'Comp - Centre'!D9*1000</f>
        <v>457.532600429978</v>
      </c>
      <c r="D24" s="70" t="n">
        <f aca="false">'Comp - Centre'!E9*1000</f>
        <v>5354.82599021753</v>
      </c>
      <c r="E24" s="70" t="n">
        <f aca="false">'Comp - Centre'!F9*1000</f>
        <v>5219.26077527531</v>
      </c>
      <c r="F24" s="70" t="n">
        <f aca="false">'Comp - Centre'!G9*1000</f>
        <v>0</v>
      </c>
      <c r="G24" s="70" t="n">
        <f aca="false">'Comp - Centre'!H9*1000</f>
        <v>0</v>
      </c>
      <c r="H24" s="70" t="n">
        <f aca="false">'Comp - Centre'!I9*1000</f>
        <v>0</v>
      </c>
      <c r="I24" s="70" t="n">
        <f aca="false">'Comp - Centre'!J9*1000</f>
        <v>0</v>
      </c>
      <c r="J24" s="70" t="n">
        <f aca="false">'Comp - Centre'!K9*1000</f>
        <v>0</v>
      </c>
      <c r="K24" s="70" t="n">
        <f aca="false">'Comp - Centre'!L9*1000</f>
        <v>0</v>
      </c>
      <c r="L24" s="70" t="n">
        <f aca="false">'Comp - Centre'!M9*1000</f>
        <v>0</v>
      </c>
      <c r="M24" s="70" t="n">
        <f aca="false">'Comp - Centre'!N9*1000</f>
        <v>0</v>
      </c>
      <c r="N24" s="70" t="n">
        <f aca="false">'Comp - Centre'!O9*1000</f>
        <v>0</v>
      </c>
      <c r="O24" s="70" t="n">
        <f aca="false">'Comp - Centre'!P9*1000</f>
        <v>0</v>
      </c>
      <c r="P24" s="70" t="n">
        <f aca="false">'Comp - Centre'!Q9*1000</f>
        <v>0</v>
      </c>
      <c r="Q24" s="70" t="n">
        <f aca="false">'Comp - Centre'!R9*1000</f>
        <v>0</v>
      </c>
    </row>
    <row r="25" customFormat="false" ht="15" hidden="false" customHeight="true" outlineLevel="0" collapsed="false">
      <c r="A25" s="69" t="s">
        <v>537</v>
      </c>
      <c r="B25" s="65" t="n">
        <f aca="false">SUM(C25:Q25)</f>
        <v>60000</v>
      </c>
      <c r="C25" s="70" t="n">
        <f aca="false">('Comp - Centre'!D10+'Comp - Centre'!D11)*1000</f>
        <v>0</v>
      </c>
      <c r="D25" s="70" t="n">
        <f aca="false">('Comp - Centre'!E10+'Comp - Centre'!E11)*1000</f>
        <v>21800</v>
      </c>
      <c r="E25" s="70" t="n">
        <f aca="false">('Comp - Centre'!F10+'Comp - Centre'!F11)*1000</f>
        <v>38200</v>
      </c>
      <c r="F25" s="70" t="n">
        <f aca="false">('Comp - Centre'!G10+'Comp - Centre'!G11)*1000</f>
        <v>0</v>
      </c>
      <c r="G25" s="70" t="n">
        <f aca="false">('Comp - Centre'!H10+'Comp - Centre'!H11)*1000</f>
        <v>0</v>
      </c>
      <c r="H25" s="70" t="n">
        <f aca="false">('Comp - Centre'!I10+'Comp - Centre'!I11)*1000</f>
        <v>0</v>
      </c>
      <c r="I25" s="70" t="n">
        <f aca="false">('Comp - Centre'!J10+'Comp - Centre'!J11)*1000</f>
        <v>0</v>
      </c>
      <c r="J25" s="70" t="n">
        <f aca="false">('Comp - Centre'!K10+'Comp - Centre'!K11)*1000</f>
        <v>0</v>
      </c>
      <c r="K25" s="70" t="n">
        <f aca="false">('Comp - Centre'!L10+'Comp - Centre'!L11)*1000</f>
        <v>0</v>
      </c>
      <c r="L25" s="70" t="n">
        <f aca="false">('Comp - Centre'!M10+'Comp - Centre'!M11)*1000</f>
        <v>0</v>
      </c>
      <c r="M25" s="70" t="n">
        <f aca="false">('Comp - Centre'!N10+'Comp - Centre'!N11)*1000</f>
        <v>0</v>
      </c>
      <c r="N25" s="70" t="n">
        <f aca="false">('Comp - Centre'!O10+'Comp - Centre'!O11)*1000</f>
        <v>0</v>
      </c>
      <c r="O25" s="70" t="n">
        <f aca="false">('Comp - Centre'!P10+'Comp - Centre'!P11)*1000</f>
        <v>0</v>
      </c>
      <c r="P25" s="70" t="n">
        <f aca="false">('Comp - Centre'!Q10+'Comp - Centre'!Q11)*1000</f>
        <v>0</v>
      </c>
      <c r="Q25" s="70" t="n">
        <f aca="false">('Comp - Centre'!R10+'Comp - Centre'!R11)*1000</f>
        <v>0</v>
      </c>
    </row>
    <row r="26" customFormat="false" ht="15" hidden="false" customHeight="true" outlineLevel="0" collapsed="false">
      <c r="A26" s="69" t="s">
        <v>538</v>
      </c>
      <c r="B26" s="65" t="n">
        <f aca="false">SUM(C26:Q26)</f>
        <v>2541.84778016655</v>
      </c>
      <c r="C26" s="70" t="n">
        <f aca="false">('Comp - Centre'!D12+'Comp - Centre'!D13)*1000</f>
        <v>355.858689223317</v>
      </c>
      <c r="D26" s="70" t="n">
        <f aca="false">('Comp - Centre'!E12+'Comp - Centre'!E13)*1000</f>
        <v>1592.89127557104</v>
      </c>
      <c r="E26" s="70" t="n">
        <f aca="false">('Comp - Centre'!F12+'Comp - Centre'!F13)*1000</f>
        <v>593.097815372194</v>
      </c>
      <c r="F26" s="70" t="n">
        <f aca="false">('Comp - Centre'!G12+'Comp - Centre'!G13)*1000</f>
        <v>0</v>
      </c>
      <c r="G26" s="70" t="n">
        <f aca="false">('Comp - Centre'!H12+'Comp - Centre'!H13)*1000</f>
        <v>0</v>
      </c>
      <c r="H26" s="70" t="n">
        <f aca="false">('Comp - Centre'!I12+'Comp - Centre'!I13)*1000</f>
        <v>0</v>
      </c>
      <c r="I26" s="70" t="n">
        <f aca="false">('Comp - Centre'!J12+'Comp - Centre'!J13)*1000</f>
        <v>0</v>
      </c>
      <c r="J26" s="70" t="n">
        <f aca="false">('Comp - Centre'!K12+'Comp - Centre'!K13)*1000</f>
        <v>0</v>
      </c>
      <c r="K26" s="70" t="n">
        <f aca="false">('Comp - Centre'!L12+'Comp - Centre'!L13)*1000</f>
        <v>0</v>
      </c>
      <c r="L26" s="70" t="n">
        <f aca="false">('Comp - Centre'!M12+'Comp - Centre'!M13)*1000</f>
        <v>0</v>
      </c>
      <c r="M26" s="70" t="n">
        <f aca="false">('Comp - Centre'!N12+'Comp - Centre'!N13)*1000</f>
        <v>0</v>
      </c>
      <c r="N26" s="70" t="n">
        <f aca="false">('Comp - Centre'!O12+'Comp - Centre'!O13)*1000</f>
        <v>0</v>
      </c>
      <c r="O26" s="70" t="n">
        <f aca="false">('Comp - Centre'!P12+'Comp - Centre'!P13)*1000</f>
        <v>0</v>
      </c>
      <c r="P26" s="70" t="n">
        <f aca="false">('Comp - Centre'!Q12+'Comp - Centre'!Q13)*1000</f>
        <v>0</v>
      </c>
      <c r="Q26" s="70" t="n">
        <f aca="false">('Comp - Centre'!R12+'Comp - Centre'!R13)*1000</f>
        <v>0</v>
      </c>
    </row>
    <row r="27" customFormat="false" ht="15" hidden="false" customHeight="true" outlineLevel="0" collapsed="false">
      <c r="A27" s="69" t="s">
        <v>539</v>
      </c>
      <c r="B27" s="65" t="n">
        <f aca="false">SUM(C27:Q27)</f>
        <v>4744.78252297755</v>
      </c>
      <c r="C27" s="70" t="n">
        <f aca="false">('Comp - Centre'!D14+'Comp - Centre'!D15+'Comp - Centre'!D16)*1000</f>
        <v>2999.38038059653</v>
      </c>
      <c r="D27" s="70" t="n">
        <f aca="false">('Comp - Centre'!E14+'Comp - Centre'!E15+'Comp - Centre'!E16)*1000</f>
        <v>1355.65214942216</v>
      </c>
      <c r="E27" s="70" t="n">
        <f aca="false">('Comp - Centre'!F14+'Comp - Centre'!F15+'Comp - Centre'!F16)*1000</f>
        <v>389.74999295887</v>
      </c>
      <c r="F27" s="70" t="n">
        <f aca="false">('Comp - Centre'!G14+'Comp - Centre'!G15+'Comp - Centre'!G16)*1000</f>
        <v>0</v>
      </c>
      <c r="G27" s="70" t="n">
        <f aca="false">('Comp - Centre'!H14+'Comp - Centre'!H15+'Comp - Centre'!H16)*1000</f>
        <v>0</v>
      </c>
      <c r="H27" s="70" t="n">
        <f aca="false">('Comp - Centre'!I14+'Comp - Centre'!I15+'Comp - Centre'!I16)*1000</f>
        <v>0</v>
      </c>
      <c r="I27" s="70" t="n">
        <f aca="false">('Comp - Centre'!J14+'Comp - Centre'!J15+'Comp - Centre'!J16)*1000</f>
        <v>0</v>
      </c>
      <c r="J27" s="70" t="n">
        <f aca="false">('Comp - Centre'!K14+'Comp - Centre'!K15+'Comp - Centre'!K16)*1000</f>
        <v>0</v>
      </c>
      <c r="K27" s="70" t="n">
        <f aca="false">('Comp - Centre'!L14+'Comp - Centre'!L15+'Comp - Centre'!L16)*1000</f>
        <v>0</v>
      </c>
      <c r="L27" s="70" t="n">
        <f aca="false">('Comp - Centre'!M14+'Comp - Centre'!M15+'Comp - Centre'!M16)*1000</f>
        <v>0</v>
      </c>
      <c r="M27" s="70" t="n">
        <f aca="false">('Comp - Centre'!N14+'Comp - Centre'!N15+'Comp - Centre'!N16)*1000</f>
        <v>0</v>
      </c>
      <c r="N27" s="70" t="n">
        <f aca="false">('Comp - Centre'!O14+'Comp - Centre'!O15+'Comp - Centre'!O16)*1000</f>
        <v>0</v>
      </c>
      <c r="O27" s="70" t="n">
        <f aca="false">('Comp - Centre'!P14+'Comp - Centre'!P15+'Comp - Centre'!P16)*1000</f>
        <v>0</v>
      </c>
      <c r="P27" s="70" t="n">
        <f aca="false">('Comp - Centre'!Q14+'Comp - Centre'!Q15+'Comp - Centre'!Q16)*1000</f>
        <v>0</v>
      </c>
      <c r="Q27" s="70" t="n">
        <f aca="false">('Comp - Centre'!R14+'Comp - Centre'!R15+'Comp - Centre'!R16)*1000</f>
        <v>0</v>
      </c>
    </row>
    <row r="28" customFormat="false" ht="15" hidden="false" customHeight="true" outlineLevel="0" collapsed="false">
      <c r="A28" s="69" t="s">
        <v>540</v>
      </c>
      <c r="B28" s="65" t="n">
        <f aca="false">SUM(C28:Q28)</f>
        <v>2033.47822413324</v>
      </c>
      <c r="C28" s="70" t="n">
        <f aca="false">('Comp - Centre'!D17+'Comp - Centre'!D18)*1000</f>
        <v>152.510866809993</v>
      </c>
      <c r="D28" s="70" t="n">
        <f aca="false">('Comp - Centre'!E17+'Comp - Centre'!E18)*1000</f>
        <v>508.369556033309</v>
      </c>
      <c r="E28" s="70" t="n">
        <f aca="false">('Comp - Centre'!F17+'Comp - Centre'!F18)*1000</f>
        <v>1372.59780128994</v>
      </c>
      <c r="F28" s="70" t="n">
        <f aca="false">('Comp - Centre'!G17+'Comp - Centre'!G18)*1000</f>
        <v>0</v>
      </c>
      <c r="G28" s="70" t="n">
        <f aca="false">('Comp - Centre'!H17+'Comp - Centre'!H18)*1000</f>
        <v>0</v>
      </c>
      <c r="H28" s="70" t="n">
        <f aca="false">('Comp - Centre'!I17+'Comp - Centre'!I18)*1000</f>
        <v>0</v>
      </c>
      <c r="I28" s="70" t="n">
        <f aca="false">('Comp - Centre'!J17+'Comp - Centre'!J18)*1000</f>
        <v>0</v>
      </c>
      <c r="J28" s="70" t="n">
        <f aca="false">('Comp - Centre'!K17+'Comp - Centre'!K18)*1000</f>
        <v>0</v>
      </c>
      <c r="K28" s="70" t="n">
        <f aca="false">('Comp - Centre'!L17+'Comp - Centre'!L18)*1000</f>
        <v>0</v>
      </c>
      <c r="L28" s="70" t="n">
        <f aca="false">('Comp - Centre'!M17+'Comp - Centre'!M18)*1000</f>
        <v>0</v>
      </c>
      <c r="M28" s="70" t="n">
        <f aca="false">('Comp - Centre'!N17+'Comp - Centre'!N18)*1000</f>
        <v>0</v>
      </c>
      <c r="N28" s="70" t="n">
        <f aca="false">('Comp - Centre'!O17+'Comp - Centre'!O18)*1000</f>
        <v>0</v>
      </c>
      <c r="O28" s="70" t="n">
        <f aca="false">('Comp - Centre'!P17+'Comp - Centre'!P18)*1000</f>
        <v>0</v>
      </c>
      <c r="P28" s="70" t="n">
        <f aca="false">('Comp - Centre'!Q17+'Comp - Centre'!Q18)*1000</f>
        <v>0</v>
      </c>
      <c r="Q28" s="70" t="n">
        <f aca="false">('Comp - Centre'!R17+'Comp - Centre'!R18)*1000</f>
        <v>0</v>
      </c>
    </row>
    <row r="29" customFormat="false" ht="15" hidden="false" customHeight="true" outlineLevel="0" collapsed="false">
      <c r="A29" s="69" t="s">
        <v>541</v>
      </c>
      <c r="B29" s="65" t="n">
        <f aca="false">SUM(C29:Q29)</f>
        <v>18200</v>
      </c>
      <c r="C29" s="70" t="n">
        <f aca="false">'Comp - Centre'!D21*1000</f>
        <v>0</v>
      </c>
      <c r="D29" s="70" t="n">
        <f aca="false">'Comp - Centre'!E21*1000</f>
        <v>2475.2</v>
      </c>
      <c r="E29" s="70" t="n">
        <f aca="false">'Comp - Centre'!F21*1000</f>
        <v>15724.8</v>
      </c>
      <c r="F29" s="70" t="n">
        <f aca="false">'Comp - Centre'!G21*1000</f>
        <v>0</v>
      </c>
      <c r="G29" s="70" t="n">
        <f aca="false">'Comp - Centre'!H21*1000</f>
        <v>0</v>
      </c>
      <c r="H29" s="70" t="n">
        <f aca="false">'Comp - Centre'!I21*1000</f>
        <v>0</v>
      </c>
      <c r="I29" s="70" t="n">
        <f aca="false">'Comp - Centre'!J21*1000</f>
        <v>0</v>
      </c>
      <c r="J29" s="70" t="n">
        <f aca="false">'Comp - Centre'!K21*1000</f>
        <v>0</v>
      </c>
      <c r="K29" s="70" t="n">
        <f aca="false">'Comp - Centre'!L21*1000</f>
        <v>0</v>
      </c>
      <c r="L29" s="70" t="n">
        <f aca="false">'Comp - Centre'!M21*1000</f>
        <v>0</v>
      </c>
      <c r="M29" s="70" t="n">
        <f aca="false">'Comp - Centre'!N21*1000</f>
        <v>0</v>
      </c>
      <c r="N29" s="70" t="n">
        <f aca="false">'Comp - Centre'!O21*1000</f>
        <v>0</v>
      </c>
      <c r="O29" s="70" t="n">
        <f aca="false">'Comp - Centre'!P21*1000</f>
        <v>0</v>
      </c>
      <c r="P29" s="70" t="n">
        <f aca="false">'Comp - Centre'!Q21*1000</f>
        <v>0</v>
      </c>
      <c r="Q29" s="70" t="n">
        <f aca="false">'Comp - Centre'!R21*1000</f>
        <v>0</v>
      </c>
    </row>
    <row r="30" customFormat="false" ht="15" hidden="false" customHeight="true" outlineLevel="0" collapsed="false">
      <c r="A30" s="75" t="s">
        <v>542</v>
      </c>
      <c r="B30" s="68" t="n">
        <f aca="false">SUM(C30:Q30)</f>
        <v>134577.813870086</v>
      </c>
      <c r="C30" s="74" t="n">
        <f aca="false">SUM(C21:C29)</f>
        <v>6864.97809739291</v>
      </c>
      <c r="D30" s="74" t="n">
        <f aca="false">SUM(D21:D29)</f>
        <v>56631.564849179</v>
      </c>
      <c r="E30" s="74" t="n">
        <f aca="false">SUM(E21:E29)</f>
        <v>71081.2709235146</v>
      </c>
      <c r="F30" s="74" t="n">
        <f aca="false">SUM(F21:F29)</f>
        <v>0</v>
      </c>
      <c r="G30" s="74" t="n">
        <f aca="false">SUM(G21:G29)</f>
        <v>0</v>
      </c>
      <c r="H30" s="74" t="n">
        <f aca="false">SUM(H21:H29)</f>
        <v>0</v>
      </c>
      <c r="I30" s="74" t="n">
        <f aca="false">SUM(I21:I29)</f>
        <v>0</v>
      </c>
      <c r="J30" s="74" t="n">
        <f aca="false">SUM(J21:J29)</f>
        <v>0</v>
      </c>
      <c r="K30" s="74" t="n">
        <f aca="false">SUM(K21:K29)</f>
        <v>0</v>
      </c>
      <c r="L30" s="74" t="n">
        <f aca="false">SUM(L21:L29)</f>
        <v>0</v>
      </c>
      <c r="M30" s="74" t="n">
        <f aca="false">SUM(M21:M29)</f>
        <v>0</v>
      </c>
      <c r="N30" s="74" t="n">
        <f aca="false">SUM(N21:N29)</f>
        <v>0</v>
      </c>
      <c r="O30" s="74" t="n">
        <f aca="false">SUM(O21:O29)</f>
        <v>0</v>
      </c>
      <c r="P30" s="74" t="n">
        <f aca="false">SUM(P21:P29)</f>
        <v>0</v>
      </c>
      <c r="Q30" s="74" t="n">
        <f aca="false">SUM(Q21:Q29)</f>
        <v>0</v>
      </c>
    </row>
    <row r="32" customFormat="false" ht="15" hidden="false" customHeight="true" outlineLevel="0" collapsed="false">
      <c r="A32" s="64" t="s">
        <v>543</v>
      </c>
      <c r="B32" s="65" t="n">
        <f aca="false">SUM(C32:Q32)</f>
        <v>357568.464999651</v>
      </c>
      <c r="C32" s="66" t="n">
        <f aca="false">C18-C30</f>
        <v>-6864.97809739291</v>
      </c>
      <c r="D32" s="66" t="n">
        <f aca="false">D18-D30</f>
        <v>-56631.564849179</v>
      </c>
      <c r="E32" s="66" t="n">
        <f aca="false">E18-E30</f>
        <v>-69495.699651528</v>
      </c>
      <c r="F32" s="66" t="n">
        <f aca="false">F18-F30</f>
        <v>23048.8171153561</v>
      </c>
      <c r="G32" s="66" t="n">
        <f aca="false">G18-G30</f>
        <v>25237.6495552299</v>
      </c>
      <c r="H32" s="66" t="n">
        <f aca="false">H18-H30</f>
        <v>26754.9363061006</v>
      </c>
      <c r="I32" s="66" t="n">
        <f aca="false">I18-I30</f>
        <v>30160.939725743</v>
      </c>
      <c r="J32" s="66" t="n">
        <f aca="false">J18-J30</f>
        <v>33786.9382308766</v>
      </c>
      <c r="K32" s="66" t="n">
        <f aca="false">K18-K30</f>
        <v>37999.2861986384</v>
      </c>
      <c r="L32" s="66" t="n">
        <f aca="false">L18-L30</f>
        <v>42645.7538655943</v>
      </c>
      <c r="M32" s="66" t="n">
        <f aca="false">M18-M30</f>
        <v>46476.7272242241</v>
      </c>
      <c r="N32" s="66" t="n">
        <f aca="false">N18-N30</f>
        <v>50231.2079168196</v>
      </c>
      <c r="O32" s="66" t="n">
        <f aca="false">O18-O30</f>
        <v>53937.9331267301</v>
      </c>
      <c r="P32" s="66" t="n">
        <f aca="false">P18-P30</f>
        <v>57976.7954668883</v>
      </c>
      <c r="Q32" s="66" t="n">
        <f aca="false">Q18-Q30</f>
        <v>62303.7228655504</v>
      </c>
    </row>
    <row r="33" customFormat="false" ht="15" hidden="false" customHeight="true" outlineLevel="0" collapsed="false">
      <c r="A33" s="69" t="s">
        <v>544</v>
      </c>
      <c r="B33" s="65" t="n">
        <f aca="false">SUM(C33:Q33)</f>
        <v>614007.712948255</v>
      </c>
      <c r="C33" s="70" t="n">
        <f aca="false">IF(2026=2040,'Comp - Centre'!S45/Inputs!$B$197*(1-(1+Inputs!$B$197)^-(Inputs!$B$55-2040))*1000,0)</f>
        <v>0</v>
      </c>
      <c r="D33" s="70" t="n">
        <f aca="false">IF(2027=2040,'Comp - Centre'!S45/Inputs!$B$197*(1-(1+Inputs!$B$197)^-(Inputs!$B$55-2040))*1000,0)</f>
        <v>0</v>
      </c>
      <c r="E33" s="70" t="n">
        <f aca="false">IF(2028=2040,'Comp - Centre'!S45/Inputs!$B$197*(1-(1+Inputs!$B$197)^-(Inputs!$B$55-2040))*1000,0)</f>
        <v>0</v>
      </c>
      <c r="F33" s="70" t="n">
        <f aca="false">IF(2029=2040,'Comp - Centre'!S45/Inputs!$B$197*(1-(1+Inputs!$B$197)^-(Inputs!$B$55-2040))*1000,0)</f>
        <v>0</v>
      </c>
      <c r="G33" s="70" t="n">
        <f aca="false">IF(2030=2040,'Comp - Centre'!S45/Inputs!$B$197*(1-(1+Inputs!$B$197)^-(Inputs!$B$55-2040))*1000,0)</f>
        <v>0</v>
      </c>
      <c r="H33" s="70" t="n">
        <f aca="false">IF(2031=2040,'Comp - Centre'!S45/Inputs!$B$197*(1-(1+Inputs!$B$197)^-(Inputs!$B$55-2040))*1000,0)</f>
        <v>0</v>
      </c>
      <c r="I33" s="70" t="n">
        <f aca="false">IF(2032=2040,'Comp - Centre'!S45/Inputs!$B$197*(1-(1+Inputs!$B$197)^-(Inputs!$B$55-2040))*1000,0)</f>
        <v>0</v>
      </c>
      <c r="J33" s="70" t="n">
        <f aca="false">IF(2033=2040,'Comp - Centre'!S45/Inputs!$B$197*(1-(1+Inputs!$B$197)^-(Inputs!$B$55-2040))*1000,0)</f>
        <v>0</v>
      </c>
      <c r="K33" s="70" t="n">
        <f aca="false">IF(2034=2040,'Comp - Centre'!S45/Inputs!$B$197*(1-(1+Inputs!$B$197)^-(Inputs!$B$55-2040))*1000,0)</f>
        <v>0</v>
      </c>
      <c r="L33" s="70" t="n">
        <f aca="false">IF(2035=2040,'Comp - Centre'!S45/Inputs!$B$197*(1-(1+Inputs!$B$197)^-(Inputs!$B$55-2040))*1000,0)</f>
        <v>0</v>
      </c>
      <c r="M33" s="70" t="n">
        <f aca="false">IF(2036=2040,'Comp - Centre'!S45/Inputs!$B$197*(1-(1+Inputs!$B$197)^-(Inputs!$B$55-2040))*1000,0)</f>
        <v>0</v>
      </c>
      <c r="N33" s="70" t="n">
        <f aca="false">IF(2037=2040,'Comp - Centre'!S45/Inputs!$B$197*(1-(1+Inputs!$B$197)^-(Inputs!$B$55-2040))*1000,0)</f>
        <v>0</v>
      </c>
      <c r="O33" s="70" t="n">
        <f aca="false">IF(2038=2040,'Comp - Centre'!S45/Inputs!$B$197*(1-(1+Inputs!$B$197)^-(Inputs!$B$55-2040))*1000,0)</f>
        <v>0</v>
      </c>
      <c r="P33" s="70" t="n">
        <f aca="false">IF(2039=2040,'Comp - Centre'!S45/Inputs!$B$197*(1-(1+Inputs!$B$197)^-(Inputs!$B$55-2040))*1000,0)</f>
        <v>0</v>
      </c>
      <c r="Q33" s="70" t="n">
        <f aca="false">IF(2040=2040,'Comp - Centre'!S45/Inputs!$B$197*(1-(1+Inputs!$B$197)^-(Inputs!$B$55-2040))*1000,0)</f>
        <v>614007.712948255</v>
      </c>
    </row>
    <row r="34" customFormat="false" ht="15" hidden="false" customHeight="true" outlineLevel="0" collapsed="false">
      <c r="A34" s="75" t="s">
        <v>545</v>
      </c>
      <c r="B34" s="68" t="n">
        <f aca="false">SUM(C34:Q34)</f>
        <v>971576.177947906</v>
      </c>
      <c r="C34" s="74" t="n">
        <f aca="false">C32+C33</f>
        <v>-6864.97809739291</v>
      </c>
      <c r="D34" s="74" t="n">
        <f aca="false">D32+D33</f>
        <v>-56631.564849179</v>
      </c>
      <c r="E34" s="74" t="n">
        <f aca="false">E32+E33</f>
        <v>-69495.699651528</v>
      </c>
      <c r="F34" s="74" t="n">
        <f aca="false">F32+F33</f>
        <v>23048.8171153561</v>
      </c>
      <c r="G34" s="74" t="n">
        <f aca="false">G32+G33</f>
        <v>25237.6495552299</v>
      </c>
      <c r="H34" s="74" t="n">
        <f aca="false">H32+H33</f>
        <v>26754.9363061006</v>
      </c>
      <c r="I34" s="74" t="n">
        <f aca="false">I32+I33</f>
        <v>30160.939725743</v>
      </c>
      <c r="J34" s="74" t="n">
        <f aca="false">J32+J33</f>
        <v>33786.9382308766</v>
      </c>
      <c r="K34" s="74" t="n">
        <f aca="false">K32+K33</f>
        <v>37999.2861986384</v>
      </c>
      <c r="L34" s="74" t="n">
        <f aca="false">L32+L33</f>
        <v>42645.7538655943</v>
      </c>
      <c r="M34" s="74" t="n">
        <f aca="false">M32+M33</f>
        <v>46476.7272242241</v>
      </c>
      <c r="N34" s="74" t="n">
        <f aca="false">N32+N33</f>
        <v>50231.2079168196</v>
      </c>
      <c r="O34" s="74" t="n">
        <f aca="false">O32+O33</f>
        <v>53937.9331267301</v>
      </c>
      <c r="P34" s="74" t="n">
        <f aca="false">P32+P33</f>
        <v>57976.7954668883</v>
      </c>
      <c r="Q34" s="74" t="n">
        <f aca="false">Q32+Q33</f>
        <v>676311.435813805</v>
      </c>
    </row>
    <row r="35" customFormat="false" ht="15" hidden="false" customHeight="true" outlineLevel="0" collapsed="false">
      <c r="A35" s="71" t="s">
        <v>569</v>
      </c>
      <c r="B35" s="72" t="n">
        <f aca="false">IFERROR(IRR(C34:Q34),0)</f>
        <v>0.262385323134446</v>
      </c>
    </row>
    <row r="37" customFormat="false" ht="15" hidden="false" customHeight="true" outlineLevel="0" collapsed="false">
      <c r="A37" s="73" t="s">
        <v>561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4"/>
    <col collapsed="false" customWidth="true" hidden="false" outlineLevel="0" max="2" min="2" style="1" width="12"/>
    <col collapsed="false" customWidth="true" hidden="false" outlineLevel="0" max="17" min="3" style="1" width="10.51"/>
  </cols>
  <sheetData>
    <row r="1" customFormat="false" ht="15" hidden="false" customHeight="true" outlineLevel="0" collapsed="false">
      <c r="A1" s="55" t="s">
        <v>570</v>
      </c>
    </row>
    <row r="2" customFormat="false" ht="15" hidden="false" customHeight="true" outlineLevel="0" collapsed="false">
      <c r="A2" s="56" t="s">
        <v>500</v>
      </c>
      <c r="B2" s="57" t="s">
        <v>338</v>
      </c>
      <c r="C2" s="57" t="s">
        <v>230</v>
      </c>
      <c r="D2" s="57" t="s">
        <v>231</v>
      </c>
      <c r="E2" s="57" t="s">
        <v>232</v>
      </c>
      <c r="F2" s="57" t="s">
        <v>501</v>
      </c>
      <c r="G2" s="57" t="s">
        <v>502</v>
      </c>
      <c r="H2" s="57" t="s">
        <v>503</v>
      </c>
      <c r="I2" s="57" t="s">
        <v>504</v>
      </c>
      <c r="J2" s="57" t="s">
        <v>505</v>
      </c>
      <c r="K2" s="57" t="s">
        <v>506</v>
      </c>
      <c r="L2" s="57" t="s">
        <v>507</v>
      </c>
      <c r="M2" s="57" t="s">
        <v>508</v>
      </c>
      <c r="N2" s="57" t="s">
        <v>509</v>
      </c>
      <c r="O2" s="57" t="s">
        <v>510</v>
      </c>
      <c r="P2" s="57" t="s">
        <v>511</v>
      </c>
      <c r="Q2" s="57" t="s">
        <v>512</v>
      </c>
    </row>
    <row r="3" customFormat="false" ht="15" hidden="false" customHeight="true" outlineLevel="0" collapsed="false">
      <c r="A3" s="58" t="s">
        <v>549</v>
      </c>
      <c r="C3" s="59" t="s">
        <v>64</v>
      </c>
      <c r="D3" s="59" t="s">
        <v>65</v>
      </c>
      <c r="E3" s="59" t="s">
        <v>66</v>
      </c>
      <c r="F3" s="59" t="s">
        <v>339</v>
      </c>
      <c r="G3" s="59" t="s">
        <v>340</v>
      </c>
      <c r="H3" s="59" t="s">
        <v>341</v>
      </c>
      <c r="I3" s="59" t="s">
        <v>342</v>
      </c>
      <c r="J3" s="59" t="s">
        <v>343</v>
      </c>
      <c r="K3" s="59" t="s">
        <v>344</v>
      </c>
      <c r="L3" s="59" t="s">
        <v>345</v>
      </c>
      <c r="M3" s="59" t="s">
        <v>346</v>
      </c>
      <c r="N3" s="59" t="s">
        <v>347</v>
      </c>
      <c r="O3" s="59" t="s">
        <v>348</v>
      </c>
      <c r="P3" s="59" t="s">
        <v>349</v>
      </c>
      <c r="Q3" s="59" t="s">
        <v>350</v>
      </c>
    </row>
    <row r="4" customFormat="false" ht="15" hidden="false" customHeight="true" outlineLevel="0" collapsed="false">
      <c r="A4" s="60" t="s">
        <v>514</v>
      </c>
    </row>
    <row r="5" customFormat="false" ht="15" hidden="false" customHeight="true" outlineLevel="0" collapsed="false">
      <c r="A5" s="61" t="s">
        <v>571</v>
      </c>
      <c r="C5" s="62" t="n">
        <f aca="false">IF('Comp - Retail'!D31&gt;0,Inputs!$B$199,0)</f>
        <v>0</v>
      </c>
      <c r="D5" s="62" t="n">
        <f aca="false">IF('Comp - Retail'!E31&gt;0,Inputs!$B$199,0)</f>
        <v>0</v>
      </c>
      <c r="E5" s="62" t="n">
        <f aca="false">IF('Comp - Retail'!F31&gt;0,Inputs!$B$199,0)</f>
        <v>38597</v>
      </c>
      <c r="F5" s="62" t="n">
        <f aca="false">IF('Comp - Retail'!G31&gt;0,Inputs!$B$199,0)</f>
        <v>38597</v>
      </c>
      <c r="G5" s="62" t="n">
        <f aca="false">IF('Comp - Retail'!H31&gt;0,Inputs!$B$199,0)</f>
        <v>38597</v>
      </c>
      <c r="H5" s="62" t="n">
        <f aca="false">IF('Comp - Retail'!I31&gt;0,Inputs!$B$199,0)</f>
        <v>38597</v>
      </c>
      <c r="I5" s="62" t="n">
        <f aca="false">IF('Comp - Retail'!J31&gt;0,Inputs!$B$199,0)</f>
        <v>38597</v>
      </c>
      <c r="J5" s="62" t="n">
        <f aca="false">IF('Comp - Retail'!K31&gt;0,Inputs!$B$199,0)</f>
        <v>38597</v>
      </c>
      <c r="K5" s="62" t="n">
        <f aca="false">IF('Comp - Retail'!L31&gt;0,Inputs!$B$199,0)</f>
        <v>38597</v>
      </c>
      <c r="L5" s="62" t="n">
        <f aca="false">IF('Comp - Retail'!M31&gt;0,Inputs!$B$199,0)</f>
        <v>38597</v>
      </c>
      <c r="M5" s="62" t="n">
        <f aca="false">IF('Comp - Retail'!N31&gt;0,Inputs!$B$199,0)</f>
        <v>38597</v>
      </c>
      <c r="N5" s="62" t="n">
        <f aca="false">IF('Comp - Retail'!O31&gt;0,Inputs!$B$199,0)</f>
        <v>38597</v>
      </c>
      <c r="O5" s="62" t="n">
        <f aca="false">IF('Comp - Retail'!P31&gt;0,Inputs!$B$199,0)</f>
        <v>38597</v>
      </c>
      <c r="P5" s="62" t="n">
        <f aca="false">IF('Comp - Retail'!Q31&gt;0,Inputs!$B$199,0)</f>
        <v>38597</v>
      </c>
      <c r="Q5" s="62" t="n">
        <f aca="false">IF('Comp - Retail'!R31&gt;0,Inputs!$B$199,0)</f>
        <v>38597</v>
      </c>
    </row>
    <row r="6" customFormat="false" ht="15" hidden="false" customHeight="true" outlineLevel="0" collapsed="false">
      <c r="A6" s="61" t="s">
        <v>572</v>
      </c>
      <c r="C6" s="63" t="n">
        <f aca="false">'Comp - Retail'!D32</f>
        <v>0</v>
      </c>
      <c r="D6" s="63" t="n">
        <f aca="false">'Comp - Retail'!E32</f>
        <v>0</v>
      </c>
      <c r="E6" s="63" t="n">
        <f aca="false">'Comp - Retail'!F32</f>
        <v>0.5</v>
      </c>
      <c r="F6" s="63" t="n">
        <f aca="false">'Comp - Retail'!G32</f>
        <v>0.5</v>
      </c>
      <c r="G6" s="63" t="n">
        <f aca="false">'Comp - Retail'!H32</f>
        <v>0.7</v>
      </c>
      <c r="H6" s="63" t="n">
        <f aca="false">'Comp - Retail'!I32</f>
        <v>0.92</v>
      </c>
      <c r="I6" s="63" t="n">
        <f aca="false">'Comp - Retail'!J32</f>
        <v>0.92</v>
      </c>
      <c r="J6" s="63" t="n">
        <f aca="false">'Comp - Retail'!K32</f>
        <v>0.92</v>
      </c>
      <c r="K6" s="63" t="n">
        <f aca="false">'Comp - Retail'!L32</f>
        <v>0.92</v>
      </c>
      <c r="L6" s="63" t="n">
        <f aca="false">'Comp - Retail'!M32</f>
        <v>0.92</v>
      </c>
      <c r="M6" s="63" t="n">
        <f aca="false">'Comp - Retail'!N32</f>
        <v>0.92</v>
      </c>
      <c r="N6" s="63" t="n">
        <f aca="false">'Comp - Retail'!O32</f>
        <v>0.92</v>
      </c>
      <c r="O6" s="63" t="n">
        <f aca="false">'Comp - Retail'!P32</f>
        <v>0.92</v>
      </c>
      <c r="P6" s="63" t="n">
        <f aca="false">'Comp - Retail'!Q32</f>
        <v>0.92</v>
      </c>
      <c r="Q6" s="63" t="n">
        <f aca="false">'Comp - Retail'!R32</f>
        <v>0.92</v>
      </c>
    </row>
    <row r="7" customFormat="false" ht="15" hidden="false" customHeight="true" outlineLevel="0" collapsed="false">
      <c r="A7" s="61" t="s">
        <v>573</v>
      </c>
      <c r="C7" s="62" t="n">
        <f aca="false">'Comp - Retail'!D33</f>
        <v>0</v>
      </c>
      <c r="D7" s="62" t="n">
        <f aca="false">'Comp - Retail'!E33</f>
        <v>0</v>
      </c>
      <c r="E7" s="62" t="n">
        <f aca="false">'Comp - Retail'!F33</f>
        <v>957.052790486599</v>
      </c>
      <c r="F7" s="62" t="n">
        <f aca="false">'Comp - Retail'!G33</f>
        <v>957.052790486599</v>
      </c>
      <c r="G7" s="62" t="n">
        <f aca="false">'Comp - Retail'!H33</f>
        <v>1248.63922796229</v>
      </c>
      <c r="H7" s="62" t="n">
        <f aca="false">'Comp - Retail'!I33</f>
        <v>1520.02761775983</v>
      </c>
      <c r="I7" s="62" t="n">
        <f aca="false">'Comp - Retail'!J33</f>
        <v>1520.02761775983</v>
      </c>
      <c r="J7" s="62" t="n">
        <f aca="false">'Comp - Retail'!K33</f>
        <v>1520.02761775983</v>
      </c>
      <c r="K7" s="62" t="n">
        <f aca="false">'Comp - Retail'!L33</f>
        <v>1672.03037953581</v>
      </c>
      <c r="L7" s="62" t="n">
        <f aca="false">'Comp - Retail'!M33</f>
        <v>1672.03037953581</v>
      </c>
      <c r="M7" s="62" t="n">
        <f aca="false">'Comp - Retail'!N33</f>
        <v>1672.03037953581</v>
      </c>
      <c r="N7" s="62" t="n">
        <f aca="false">'Comp - Retail'!O33</f>
        <v>1839.2334174894</v>
      </c>
      <c r="O7" s="62" t="n">
        <f aca="false">'Comp - Retail'!P33</f>
        <v>1839.2334174894</v>
      </c>
      <c r="P7" s="62" t="n">
        <f aca="false">'Comp - Retail'!Q33</f>
        <v>1839.2334174894</v>
      </c>
      <c r="Q7" s="62" t="n">
        <f aca="false">'Comp - Retail'!R33</f>
        <v>2023.15675923834</v>
      </c>
    </row>
    <row r="8" customFormat="false" ht="15" hidden="false" customHeight="true" outlineLevel="0" collapsed="false">
      <c r="A8" s="61" t="s">
        <v>574</v>
      </c>
      <c r="C8" s="62" t="n">
        <f aca="false">'Comp - Retail'!D34</f>
        <v>0</v>
      </c>
      <c r="D8" s="62" t="n">
        <f aca="false">'Comp - Retail'!E34</f>
        <v>0</v>
      </c>
      <c r="E8" s="62" t="n">
        <f aca="false">'Comp - Retail'!F34</f>
        <v>1914.1055809732</v>
      </c>
      <c r="F8" s="62" t="n">
        <f aca="false">'Comp - Retail'!G34</f>
        <v>1914.1055809732</v>
      </c>
      <c r="G8" s="62" t="n">
        <f aca="false">'Comp - Retail'!H34</f>
        <v>1783.77032566041</v>
      </c>
      <c r="H8" s="62" t="n">
        <f aca="false">'Comp - Retail'!I34</f>
        <v>1652.20393234764</v>
      </c>
      <c r="I8" s="62" t="n">
        <f aca="false">'Comp - Retail'!J34</f>
        <v>1652.20393234764</v>
      </c>
      <c r="J8" s="62" t="n">
        <f aca="false">'Comp - Retail'!K34</f>
        <v>1652.20393234764</v>
      </c>
      <c r="K8" s="62" t="n">
        <f aca="false">'Comp - Retail'!L34</f>
        <v>1817.42432558241</v>
      </c>
      <c r="L8" s="62" t="n">
        <f aca="false">'Comp - Retail'!M34</f>
        <v>1817.42432558241</v>
      </c>
      <c r="M8" s="62" t="n">
        <f aca="false">'Comp - Retail'!N34</f>
        <v>1817.42432558241</v>
      </c>
      <c r="N8" s="62" t="n">
        <f aca="false">'Comp - Retail'!O34</f>
        <v>1999.16675814065</v>
      </c>
      <c r="O8" s="62" t="n">
        <f aca="false">'Comp - Retail'!P34</f>
        <v>1999.16675814065</v>
      </c>
      <c r="P8" s="62" t="n">
        <f aca="false">'Comp - Retail'!Q34</f>
        <v>1999.16675814065</v>
      </c>
      <c r="Q8" s="62" t="n">
        <f aca="false">'Comp - Retail'!R34</f>
        <v>2199.08343395471</v>
      </c>
    </row>
    <row r="9" customFormat="false" ht="15" hidden="false" customHeight="true" outlineLevel="0" collapsed="false">
      <c r="A9" s="61" t="s">
        <v>244</v>
      </c>
      <c r="C9" s="63" t="n">
        <f aca="false">IF('Comp - Retail'!D31&gt;0,Inputs!$B$159,0)</f>
        <v>0</v>
      </c>
      <c r="D9" s="63" t="n">
        <f aca="false">IF('Comp - Retail'!E31&gt;0,Inputs!$B$159,0)</f>
        <v>0</v>
      </c>
      <c r="E9" s="63" t="n">
        <f aca="false">IF('Comp - Retail'!F31&gt;0,Inputs!$B$159,0)</f>
        <v>0.1</v>
      </c>
      <c r="F9" s="63" t="n">
        <f aca="false">IF('Comp - Retail'!G31&gt;0,Inputs!$B$159,0)</f>
        <v>0.1</v>
      </c>
      <c r="G9" s="63" t="n">
        <f aca="false">IF('Comp - Retail'!H31&gt;0,Inputs!$B$159,0)</f>
        <v>0.1</v>
      </c>
      <c r="H9" s="63" t="n">
        <f aca="false">IF('Comp - Retail'!I31&gt;0,Inputs!$B$159,0)</f>
        <v>0.1</v>
      </c>
      <c r="I9" s="63" t="n">
        <f aca="false">IF('Comp - Retail'!J31&gt;0,Inputs!$B$159,0)</f>
        <v>0.1</v>
      </c>
      <c r="J9" s="63" t="n">
        <f aca="false">IF('Comp - Retail'!K31&gt;0,Inputs!$B$159,0)</f>
        <v>0.1</v>
      </c>
      <c r="K9" s="63" t="n">
        <f aca="false">IF('Comp - Retail'!L31&gt;0,Inputs!$B$159,0)</f>
        <v>0.1</v>
      </c>
      <c r="L9" s="63" t="n">
        <f aca="false">IF('Comp - Retail'!M31&gt;0,Inputs!$B$159,0)</f>
        <v>0.1</v>
      </c>
      <c r="M9" s="63" t="n">
        <f aca="false">IF('Comp - Retail'!N31&gt;0,Inputs!$B$159,0)</f>
        <v>0.1</v>
      </c>
      <c r="N9" s="63" t="n">
        <f aca="false">IF('Comp - Retail'!O31&gt;0,Inputs!$B$159,0)</f>
        <v>0.1</v>
      </c>
      <c r="O9" s="63" t="n">
        <f aca="false">IF('Comp - Retail'!P31&gt;0,Inputs!$B$159,0)</f>
        <v>0.1</v>
      </c>
      <c r="P9" s="63" t="n">
        <f aca="false">IF('Comp - Retail'!Q31&gt;0,Inputs!$B$159,0)</f>
        <v>0.1</v>
      </c>
      <c r="Q9" s="63" t="n">
        <f aca="false">IF('Comp - Retail'!R31&gt;0,Inputs!$B$159,0)</f>
        <v>0.1</v>
      </c>
    </row>
    <row r="10" customFormat="false" ht="15" hidden="false" customHeight="true" outlineLevel="0" collapsed="false">
      <c r="A10" s="61" t="s">
        <v>575</v>
      </c>
      <c r="C10" s="62" t="n">
        <f aca="false">-'Comp - Retail'!D35*1000</f>
        <v>0</v>
      </c>
      <c r="D10" s="62" t="n">
        <f aca="false">-'Comp - Retail'!E35*1000</f>
        <v>0</v>
      </c>
      <c r="E10" s="62" t="n">
        <f aca="false">-'Comp - Retail'!F35*1000</f>
        <v>4731.70731707317</v>
      </c>
      <c r="F10" s="62" t="n">
        <f aca="false">-'Comp - Retail'!G35*1000</f>
        <v>9700</v>
      </c>
      <c r="G10" s="62" t="n">
        <f aca="false">-'Comp - Retail'!H35*1000</f>
        <v>9942.5</v>
      </c>
      <c r="H10" s="62" t="n">
        <f aca="false">-'Comp - Retail'!I35*1000</f>
        <v>10191.0625</v>
      </c>
      <c r="I10" s="62" t="n">
        <f aca="false">-'Comp - Retail'!J35*1000</f>
        <v>10445.8390625</v>
      </c>
      <c r="J10" s="62" t="n">
        <f aca="false">-'Comp - Retail'!K35*1000</f>
        <v>10706.9850390625</v>
      </c>
      <c r="K10" s="62" t="n">
        <f aca="false">-'Comp - Retail'!L35*1000</f>
        <v>10974.6596650391</v>
      </c>
      <c r="L10" s="62" t="n">
        <f aca="false">-'Comp - Retail'!M35*1000</f>
        <v>11249.026156665</v>
      </c>
      <c r="M10" s="62" t="n">
        <f aca="false">-'Comp - Retail'!N35*1000</f>
        <v>11530.2518105817</v>
      </c>
      <c r="N10" s="62" t="n">
        <f aca="false">-'Comp - Retail'!O35*1000</f>
        <v>11818.5081058462</v>
      </c>
      <c r="O10" s="62" t="n">
        <f aca="false">-'Comp - Retail'!P35*1000</f>
        <v>12113.9708084924</v>
      </c>
      <c r="P10" s="62" t="n">
        <f aca="false">-'Comp - Retail'!Q35*1000</f>
        <v>12416.8200787047</v>
      </c>
      <c r="Q10" s="62" t="n">
        <f aca="false">-'Comp - Retail'!R35*1000</f>
        <v>12727.2405806723</v>
      </c>
    </row>
    <row r="12" customFormat="false" ht="15" hidden="false" customHeight="true" outlineLevel="0" collapsed="false">
      <c r="A12" s="60" t="s">
        <v>523</v>
      </c>
    </row>
    <row r="13" customFormat="false" ht="15" hidden="false" customHeight="true" outlineLevel="0" collapsed="false">
      <c r="A13" s="61" t="s">
        <v>576</v>
      </c>
      <c r="B13" s="65" t="n">
        <f aca="false">SUM(C13:Q13)</f>
        <v>447361.074217622</v>
      </c>
      <c r="C13" s="62" t="n">
        <f aca="false">'Comp - Retail'!D25*1000</f>
        <v>0</v>
      </c>
      <c r="D13" s="62" t="n">
        <f aca="false">'Comp - Retail'!E25*1000</f>
        <v>0</v>
      </c>
      <c r="E13" s="62" t="n">
        <f aca="false">'Comp - Retail'!F25*1000</f>
        <v>5439.19931083409</v>
      </c>
      <c r="F13" s="62" t="n">
        <f aca="false">'Comp - Retail'!G25*1000</f>
        <v>21756.7972433364</v>
      </c>
      <c r="G13" s="62" t="n">
        <f aca="false">'Comp - Retail'!H25*1000</f>
        <v>28624.2349748273</v>
      </c>
      <c r="H13" s="62" t="n">
        <f aca="false">'Comp - Retail'!I25*1000</f>
        <v>34769.6334862467</v>
      </c>
      <c r="I13" s="62" t="n">
        <f aca="false">'Comp - Retail'!J25*1000</f>
        <v>34769.6334862467</v>
      </c>
      <c r="J13" s="62" t="n">
        <f aca="false">'Comp - Retail'!K25*1000</f>
        <v>34769.6334862467</v>
      </c>
      <c r="K13" s="62" t="n">
        <f aca="false">'Comp - Retail'!L25*1000</f>
        <v>38246.5968348714</v>
      </c>
      <c r="L13" s="62" t="n">
        <f aca="false">'Comp - Retail'!M25*1000</f>
        <v>38246.5968348714</v>
      </c>
      <c r="M13" s="62" t="n">
        <f aca="false">'Comp - Retail'!N25*1000</f>
        <v>38246.5968348714</v>
      </c>
      <c r="N13" s="62" t="n">
        <f aca="false">'Comp - Retail'!O25*1000</f>
        <v>42071.2565183585</v>
      </c>
      <c r="O13" s="62" t="n">
        <f aca="false">'Comp - Retail'!P25*1000</f>
        <v>42071.2565183585</v>
      </c>
      <c r="P13" s="62" t="n">
        <f aca="false">'Comp - Retail'!Q25*1000</f>
        <v>42071.2565183585</v>
      </c>
      <c r="Q13" s="62" t="n">
        <f aca="false">'Comp - Retail'!R25*1000</f>
        <v>46278.3821701944</v>
      </c>
    </row>
    <row r="14" customFormat="false" ht="15" hidden="false" customHeight="true" outlineLevel="0" collapsed="false">
      <c r="A14" s="61" t="s">
        <v>577</v>
      </c>
      <c r="B14" s="65" t="n">
        <f aca="false">SUM(C14:Q14)</f>
        <v>56536.9584515069</v>
      </c>
      <c r="C14" s="62" t="n">
        <f aca="false">'Comp - Retail'!D26*1000</f>
        <v>0</v>
      </c>
      <c r="D14" s="62" t="n">
        <f aca="false">'Comp - Retail'!E26*1000</f>
        <v>0</v>
      </c>
      <c r="E14" s="62" t="n">
        <f aca="false">'Comp - Retail'!F26*1000</f>
        <v>884.727573304685</v>
      </c>
      <c r="F14" s="62" t="n">
        <f aca="false">'Comp - Retail'!G26*1000</f>
        <v>3538.91029321874</v>
      </c>
      <c r="G14" s="62" t="n">
        <f aca="false">'Comp - Retail'!H26*1000</f>
        <v>3892.80132254061</v>
      </c>
      <c r="H14" s="62" t="n">
        <f aca="false">'Comp - Retail'!I26*1000</f>
        <v>4282.08145479467</v>
      </c>
      <c r="I14" s="62" t="n">
        <f aca="false">'Comp - Retail'!J26*1000</f>
        <v>4282.08145479467</v>
      </c>
      <c r="J14" s="62" t="n">
        <f aca="false">'Comp - Retail'!K26*1000</f>
        <v>4282.08145479467</v>
      </c>
      <c r="K14" s="62" t="n">
        <f aca="false">'Comp - Retail'!L26*1000</f>
        <v>4710.28960027414</v>
      </c>
      <c r="L14" s="62" t="n">
        <f aca="false">'Comp - Retail'!M26*1000</f>
        <v>4710.28960027414</v>
      </c>
      <c r="M14" s="62" t="n">
        <f aca="false">'Comp - Retail'!N26*1000</f>
        <v>4710.28960027414</v>
      </c>
      <c r="N14" s="62" t="n">
        <f aca="false">'Comp - Retail'!O26*1000</f>
        <v>5181.31856030155</v>
      </c>
      <c r="O14" s="62" t="n">
        <f aca="false">'Comp - Retail'!P26*1000</f>
        <v>5181.31856030155</v>
      </c>
      <c r="P14" s="62" t="n">
        <f aca="false">'Comp - Retail'!Q26*1000</f>
        <v>5181.31856030155</v>
      </c>
      <c r="Q14" s="62" t="n">
        <f aca="false">'Comp - Retail'!R26*1000</f>
        <v>5699.45041633171</v>
      </c>
    </row>
    <row r="15" customFormat="false" ht="15" hidden="false" customHeight="true" outlineLevel="0" collapsed="false">
      <c r="A15" s="61" t="s">
        <v>578</v>
      </c>
      <c r="B15" s="65" t="n">
        <f aca="false">SUM(C15:Q15)</f>
        <v>67104.1619734741</v>
      </c>
      <c r="C15" s="62" t="n">
        <f aca="false">'Comp - Retail'!D27*1000</f>
        <v>0</v>
      </c>
      <c r="D15" s="62" t="n">
        <f aca="false">'Comp - Retail'!E27*1000</f>
        <v>0</v>
      </c>
      <c r="E15" s="62" t="n">
        <f aca="false">'Comp - Retail'!F27*1000</f>
        <v>815.879860878545</v>
      </c>
      <c r="F15" s="62" t="n">
        <f aca="false">'Comp - Retail'!G27*1000</f>
        <v>3263.51944351418</v>
      </c>
      <c r="G15" s="62" t="n">
        <f aca="false">'Comp - Retail'!H27*1000</f>
        <v>4293.6354607035</v>
      </c>
      <c r="H15" s="62" t="n">
        <f aca="false">'Comp - Retail'!I27*1000</f>
        <v>5215.44509443014</v>
      </c>
      <c r="I15" s="62" t="n">
        <f aca="false">'Comp - Retail'!J27*1000</f>
        <v>5215.44509443014</v>
      </c>
      <c r="J15" s="62" t="n">
        <f aca="false">'Comp - Retail'!K27*1000</f>
        <v>5215.44509443014</v>
      </c>
      <c r="K15" s="62" t="n">
        <f aca="false">'Comp - Retail'!L27*1000</f>
        <v>5736.98960387316</v>
      </c>
      <c r="L15" s="62" t="n">
        <f aca="false">'Comp - Retail'!M27*1000</f>
        <v>5736.98960387316</v>
      </c>
      <c r="M15" s="62" t="n">
        <f aca="false">'Comp - Retail'!N27*1000</f>
        <v>5736.98960387316</v>
      </c>
      <c r="N15" s="62" t="n">
        <f aca="false">'Comp - Retail'!O27*1000</f>
        <v>6310.68856426047</v>
      </c>
      <c r="O15" s="62" t="n">
        <f aca="false">'Comp - Retail'!P27*1000</f>
        <v>6310.68856426047</v>
      </c>
      <c r="P15" s="62" t="n">
        <f aca="false">'Comp - Retail'!Q27*1000</f>
        <v>6310.68856426047</v>
      </c>
      <c r="Q15" s="62" t="n">
        <f aca="false">'Comp - Retail'!R27*1000</f>
        <v>6941.75742068652</v>
      </c>
    </row>
    <row r="16" customFormat="false" ht="15" hidden="false" customHeight="true" outlineLevel="0" collapsed="false">
      <c r="A16" s="61" t="s">
        <v>579</v>
      </c>
      <c r="B16" s="65" t="n">
        <f aca="false">SUM(C16:Q16)</f>
        <v>22368.0510096559</v>
      </c>
      <c r="C16" s="62" t="n">
        <f aca="false">'Comp - Retail'!D28*1000</f>
        <v>0</v>
      </c>
      <c r="D16" s="62" t="n">
        <f aca="false">'Comp - Retail'!E28*1000</f>
        <v>0</v>
      </c>
      <c r="E16" s="62" t="n">
        <f aca="false">'Comp - Retail'!F28*1000</f>
        <v>271.959894048567</v>
      </c>
      <c r="F16" s="62" t="n">
        <f aca="false">'Comp - Retail'!G28*1000</f>
        <v>1087.83957619427</v>
      </c>
      <c r="G16" s="62" t="n">
        <f aca="false">'Comp - Retail'!H28*1000</f>
        <v>1431.2118202345</v>
      </c>
      <c r="H16" s="62" t="n">
        <f aca="false">'Comp - Retail'!I28*1000</f>
        <v>1738.48145983292</v>
      </c>
      <c r="I16" s="62" t="n">
        <f aca="false">'Comp - Retail'!J28*1000</f>
        <v>1738.48145983292</v>
      </c>
      <c r="J16" s="62" t="n">
        <f aca="false">'Comp - Retail'!K28*1000</f>
        <v>1738.48145983292</v>
      </c>
      <c r="K16" s="62" t="n">
        <f aca="false">'Comp - Retail'!L28*1000</f>
        <v>1912.32960581622</v>
      </c>
      <c r="L16" s="62" t="n">
        <f aca="false">'Comp - Retail'!M28*1000</f>
        <v>1912.32960581622</v>
      </c>
      <c r="M16" s="62" t="n">
        <f aca="false">'Comp - Retail'!N28*1000</f>
        <v>1912.32960581622</v>
      </c>
      <c r="N16" s="62" t="n">
        <f aca="false">'Comp - Retail'!O28*1000</f>
        <v>2103.56256639784</v>
      </c>
      <c r="O16" s="62" t="n">
        <f aca="false">'Comp - Retail'!P28*1000</f>
        <v>2103.56256639784</v>
      </c>
      <c r="P16" s="62" t="n">
        <f aca="false">'Comp - Retail'!Q28*1000</f>
        <v>2103.56256639784</v>
      </c>
      <c r="Q16" s="62" t="n">
        <f aca="false">'Comp - Retail'!R28*1000</f>
        <v>2313.91882303762</v>
      </c>
    </row>
    <row r="17" customFormat="false" ht="15" hidden="false" customHeight="true" outlineLevel="0" collapsed="false">
      <c r="A17" s="61" t="s">
        <v>580</v>
      </c>
      <c r="B17" s="65" t="n">
        <f aca="false">SUM(C17:Q17)</f>
        <v>79428.1605386482</v>
      </c>
      <c r="C17" s="62" t="n">
        <f aca="false">'Comp - Retail'!D29*1000</f>
        <v>0</v>
      </c>
      <c r="D17" s="62" t="n">
        <f aca="false">'Comp - Retail'!E29*1000</f>
        <v>0</v>
      </c>
      <c r="E17" s="62" t="n">
        <f aca="false">'Comp - Retail'!F29*1000</f>
        <v>536.198529275566</v>
      </c>
      <c r="F17" s="62" t="n">
        <f aca="false">'Comp - Retail'!G29*1000</f>
        <v>2144.79411710227</v>
      </c>
      <c r="G17" s="62" t="n">
        <f aca="false">'Comp - Retail'!H29*1000</f>
        <v>4289.58823420453</v>
      </c>
      <c r="H17" s="62" t="n">
        <f aca="false">'Comp - Retail'!I29*1000</f>
        <v>6434.3823513068</v>
      </c>
      <c r="I17" s="62" t="n">
        <f aca="false">'Comp - Retail'!J29*1000</f>
        <v>6434.3823513068</v>
      </c>
      <c r="J17" s="62" t="n">
        <f aca="false">'Comp - Retail'!K29*1000</f>
        <v>6434.3823513068</v>
      </c>
      <c r="K17" s="62" t="n">
        <f aca="false">'Comp - Retail'!L29*1000</f>
        <v>7077.82058643748</v>
      </c>
      <c r="L17" s="62" t="n">
        <f aca="false">'Comp - Retail'!M29*1000</f>
        <v>7077.82058643748</v>
      </c>
      <c r="M17" s="62" t="n">
        <f aca="false">'Comp - Retail'!N29*1000</f>
        <v>7077.82058643748</v>
      </c>
      <c r="N17" s="62" t="n">
        <f aca="false">'Comp - Retail'!O29*1000</f>
        <v>7785.60264508123</v>
      </c>
      <c r="O17" s="62" t="n">
        <f aca="false">'Comp - Retail'!P29*1000</f>
        <v>7785.60264508123</v>
      </c>
      <c r="P17" s="62" t="n">
        <f aca="false">'Comp - Retail'!Q29*1000</f>
        <v>7785.60264508123</v>
      </c>
      <c r="Q17" s="62" t="n">
        <f aca="false">'Comp - Retail'!R29*1000</f>
        <v>8564.16290958935</v>
      </c>
    </row>
    <row r="18" customFormat="false" ht="15" hidden="false" customHeight="true" outlineLevel="0" collapsed="false">
      <c r="A18" s="61" t="s">
        <v>581</v>
      </c>
      <c r="B18" s="65" t="n">
        <f aca="false">SUM(C18:Q18)</f>
        <v>82235.5759294645</v>
      </c>
      <c r="C18" s="62" t="n">
        <f aca="false">'Comp - Retail'!D30*1000</f>
        <v>0</v>
      </c>
      <c r="D18" s="62" t="n">
        <f aca="false">'Comp - Retail'!E30*1000</f>
        <v>0</v>
      </c>
      <c r="E18" s="62" t="n">
        <f aca="false">'Comp - Retail'!F30*1000</f>
        <v>1286.87647026136</v>
      </c>
      <c r="F18" s="62" t="n">
        <f aca="false">'Comp - Retail'!G30*1000</f>
        <v>5147.50588104544</v>
      </c>
      <c r="G18" s="62" t="n">
        <f aca="false">'Comp - Retail'!H30*1000</f>
        <v>5662.25646914998</v>
      </c>
      <c r="H18" s="62" t="n">
        <f aca="false">'Comp - Retail'!I30*1000</f>
        <v>6228.48211606498</v>
      </c>
      <c r="I18" s="62" t="n">
        <f aca="false">'Comp - Retail'!J30*1000</f>
        <v>6228.48211606498</v>
      </c>
      <c r="J18" s="62" t="n">
        <f aca="false">'Comp - Retail'!K30*1000</f>
        <v>6228.48211606498</v>
      </c>
      <c r="K18" s="62" t="n">
        <f aca="false">'Comp - Retail'!L30*1000</f>
        <v>6851.33032767148</v>
      </c>
      <c r="L18" s="62" t="n">
        <f aca="false">'Comp - Retail'!M30*1000</f>
        <v>6851.33032767148</v>
      </c>
      <c r="M18" s="62" t="n">
        <f aca="false">'Comp - Retail'!N30*1000</f>
        <v>6851.33032767148</v>
      </c>
      <c r="N18" s="62" t="n">
        <f aca="false">'Comp - Retail'!O30*1000</f>
        <v>7536.46336043863</v>
      </c>
      <c r="O18" s="62" t="n">
        <f aca="false">'Comp - Retail'!P30*1000</f>
        <v>7536.46336043863</v>
      </c>
      <c r="P18" s="62" t="n">
        <f aca="false">'Comp - Retail'!Q30*1000</f>
        <v>7536.46336043863</v>
      </c>
      <c r="Q18" s="62" t="n">
        <f aca="false">'Comp - Retail'!R30*1000</f>
        <v>8290.10969648249</v>
      </c>
    </row>
    <row r="19" customFormat="false" ht="15" hidden="false" customHeight="true" outlineLevel="0" collapsed="false">
      <c r="A19" s="64" t="s">
        <v>426</v>
      </c>
      <c r="B19" s="65" t="n">
        <f aca="false">SUM(C19:Q19)</f>
        <v>755033.982120371</v>
      </c>
      <c r="C19" s="66" t="n">
        <f aca="false">'Comp - Retail'!D31*1000</f>
        <v>0</v>
      </c>
      <c r="D19" s="66" t="n">
        <f aca="false">'Comp - Retail'!E31*1000</f>
        <v>0</v>
      </c>
      <c r="E19" s="66" t="n">
        <f aca="false">'Comp - Retail'!F31*1000</f>
        <v>9234.84163860281</v>
      </c>
      <c r="F19" s="66" t="n">
        <f aca="false">'Comp - Retail'!G31*1000</f>
        <v>36939.3665544113</v>
      </c>
      <c r="G19" s="66" t="n">
        <f aca="false">'Comp - Retail'!H31*1000</f>
        <v>48193.7282816604</v>
      </c>
      <c r="H19" s="66" t="n">
        <f aca="false">'Comp - Retail'!I31*1000</f>
        <v>58668.5059626762</v>
      </c>
      <c r="I19" s="66" t="n">
        <f aca="false">'Comp - Retail'!J31*1000</f>
        <v>58668.5059626762</v>
      </c>
      <c r="J19" s="66" t="n">
        <f aca="false">'Comp - Retail'!K31*1000</f>
        <v>58668.5059626762</v>
      </c>
      <c r="K19" s="66" t="n">
        <f aca="false">'Comp - Retail'!L31*1000</f>
        <v>64535.3565589438</v>
      </c>
      <c r="L19" s="66" t="n">
        <f aca="false">'Comp - Retail'!M31*1000</f>
        <v>64535.3565589438</v>
      </c>
      <c r="M19" s="66" t="n">
        <f aca="false">'Comp - Retail'!N31*1000</f>
        <v>64535.3565589438</v>
      </c>
      <c r="N19" s="66" t="n">
        <f aca="false">'Comp - Retail'!O31*1000</f>
        <v>70988.8922148382</v>
      </c>
      <c r="O19" s="66" t="n">
        <f aca="false">'Comp - Retail'!P31*1000</f>
        <v>70988.8922148382</v>
      </c>
      <c r="P19" s="66" t="n">
        <f aca="false">'Comp - Retail'!Q31*1000</f>
        <v>70988.8922148382</v>
      </c>
      <c r="Q19" s="66" t="n">
        <f aca="false">'Comp - Retail'!R31*1000</f>
        <v>78087.7814363221</v>
      </c>
    </row>
    <row r="20" customFormat="false" ht="15" hidden="false" customHeight="true" outlineLevel="0" collapsed="false">
      <c r="A20" s="64" t="s">
        <v>582</v>
      </c>
      <c r="B20" s="65" t="n">
        <f aca="false">SUM(C20:Q20)</f>
        <v>592852.847355367</v>
      </c>
      <c r="C20" s="66" t="n">
        <f aca="false">'Comp - Retail'!D37*1000</f>
        <v>0</v>
      </c>
      <c r="D20" s="66" t="n">
        <f aca="false">'Comp - Retail'!E37*1000</f>
        <v>0</v>
      </c>
      <c r="E20" s="66" t="n">
        <f aca="false">'Comp - Retail'!F37*1000</f>
        <v>4214.08377824137</v>
      </c>
      <c r="F20" s="66" t="n">
        <f aca="false">'Comp - Retail'!G37*1000</f>
        <v>26083.1643812582</v>
      </c>
      <c r="G20" s="66" t="n">
        <f aca="false">'Comp - Retail'!H37*1000</f>
        <v>36742.7645864444</v>
      </c>
      <c r="H20" s="66" t="n">
        <f aca="false">'Comp - Retail'!I37*1000</f>
        <v>46641.1192260444</v>
      </c>
      <c r="I20" s="66" t="n">
        <f aca="false">'Comp - Retail'!J37*1000</f>
        <v>46386.3426635444</v>
      </c>
      <c r="J20" s="66" t="n">
        <f aca="false">'Comp - Retail'!K37*1000</f>
        <v>46125.1966869819</v>
      </c>
      <c r="K20" s="66" t="n">
        <f aca="false">'Comp - Retail'!L37*1000</f>
        <v>51540.7402336098</v>
      </c>
      <c r="L20" s="66" t="n">
        <f aca="false">'Comp - Retail'!M37*1000</f>
        <v>51266.3737419838</v>
      </c>
      <c r="M20" s="66" t="n">
        <f aca="false">'Comp - Retail'!N37*1000</f>
        <v>50985.1480880672</v>
      </c>
      <c r="N20" s="66" t="n">
        <f aca="false">'Comp - Retail'!O37*1000</f>
        <v>56948.4317826676</v>
      </c>
      <c r="O20" s="66" t="n">
        <f aca="false">'Comp - Retail'!P37*1000</f>
        <v>56652.9690800214</v>
      </c>
      <c r="P20" s="66" t="n">
        <f aca="false">'Comp - Retail'!Q37*1000</f>
        <v>56350.1198098091</v>
      </c>
      <c r="Q20" s="66" t="n">
        <f aca="false">'Comp - Retail'!R37*1000</f>
        <v>62916.3932966929</v>
      </c>
    </row>
    <row r="21" customFormat="false" ht="15" hidden="false" customHeight="true" outlineLevel="0" collapsed="false">
      <c r="A21" s="61" t="s">
        <v>529</v>
      </c>
      <c r="B21" s="65" t="n">
        <f aca="false">SUM(C21:Q21)</f>
        <v>0</v>
      </c>
      <c r="C21" s="62" t="n">
        <f aca="false">'Comp - Retail'!D40*1000</f>
        <v>-0</v>
      </c>
      <c r="D21" s="62" t="n">
        <f aca="false">'Comp - Retail'!E40*1000</f>
        <v>-0</v>
      </c>
      <c r="E21" s="62" t="n">
        <f aca="false">'Comp - Retail'!F40*1000</f>
        <v>-0</v>
      </c>
      <c r="F21" s="62" t="n">
        <f aca="false">'Comp - Retail'!G40*1000</f>
        <v>-0</v>
      </c>
      <c r="G21" s="62" t="n">
        <f aca="false">'Comp - Retail'!H40*1000</f>
        <v>-0</v>
      </c>
      <c r="H21" s="62" t="n">
        <f aca="false">'Comp - Retail'!I40*1000</f>
        <v>-0</v>
      </c>
      <c r="I21" s="62" t="n">
        <f aca="false">'Comp - Retail'!J40*1000</f>
        <v>-0</v>
      </c>
      <c r="J21" s="62" t="n">
        <f aca="false">'Comp - Retail'!K40*1000</f>
        <v>-0</v>
      </c>
      <c r="K21" s="62" t="n">
        <f aca="false">'Comp - Retail'!L40*1000</f>
        <v>-0</v>
      </c>
      <c r="L21" s="62" t="n">
        <f aca="false">'Comp - Retail'!M40*1000</f>
        <v>-0</v>
      </c>
      <c r="M21" s="62" t="n">
        <f aca="false">'Comp - Retail'!N40*1000</f>
        <v>-0</v>
      </c>
      <c r="N21" s="62" t="n">
        <f aca="false">'Comp - Retail'!O40*1000</f>
        <v>-0</v>
      </c>
      <c r="O21" s="62" t="n">
        <f aca="false">'Comp - Retail'!P40*1000</f>
        <v>-0</v>
      </c>
      <c r="P21" s="62" t="n">
        <f aca="false">'Comp - Retail'!Q40*1000</f>
        <v>-0</v>
      </c>
      <c r="Q21" s="62" t="n">
        <f aca="false">'Comp - Retail'!R40*1000</f>
        <v>-0</v>
      </c>
    </row>
    <row r="22" customFormat="false" ht="15" hidden="false" customHeight="true" outlineLevel="0" collapsed="false">
      <c r="A22" s="61" t="s">
        <v>528</v>
      </c>
      <c r="B22" s="65" t="n">
        <f aca="false">SUM(C22:Q22)</f>
        <v>-15100.6796424074</v>
      </c>
      <c r="C22" s="62" t="n">
        <f aca="false">'Comp - Retail'!D41*1000</f>
        <v>-0</v>
      </c>
      <c r="D22" s="62" t="n">
        <f aca="false">'Comp - Retail'!E41*1000</f>
        <v>-0</v>
      </c>
      <c r="E22" s="62" t="n">
        <f aca="false">'Comp - Retail'!F41*1000</f>
        <v>-184.696832772056</v>
      </c>
      <c r="F22" s="62" t="n">
        <f aca="false">'Comp - Retail'!G41*1000</f>
        <v>-738.787331088225</v>
      </c>
      <c r="G22" s="62" t="n">
        <f aca="false">'Comp - Retail'!H41*1000</f>
        <v>-963.874565633208</v>
      </c>
      <c r="H22" s="62" t="n">
        <f aca="false">'Comp - Retail'!I41*1000</f>
        <v>-1173.37011925352</v>
      </c>
      <c r="I22" s="62" t="n">
        <f aca="false">'Comp - Retail'!J41*1000</f>
        <v>-1173.37011925352</v>
      </c>
      <c r="J22" s="62" t="n">
        <f aca="false">'Comp - Retail'!K41*1000</f>
        <v>-1173.37011925352</v>
      </c>
      <c r="K22" s="62" t="n">
        <f aca="false">'Comp - Retail'!L41*1000</f>
        <v>-1290.70713117888</v>
      </c>
      <c r="L22" s="62" t="n">
        <f aca="false">'Comp - Retail'!M41*1000</f>
        <v>-1290.70713117888</v>
      </c>
      <c r="M22" s="62" t="n">
        <f aca="false">'Comp - Retail'!N41*1000</f>
        <v>-1290.70713117888</v>
      </c>
      <c r="N22" s="62" t="n">
        <f aca="false">'Comp - Retail'!O41*1000</f>
        <v>-1419.77784429676</v>
      </c>
      <c r="O22" s="62" t="n">
        <f aca="false">'Comp - Retail'!P41*1000</f>
        <v>-1419.77784429676</v>
      </c>
      <c r="P22" s="62" t="n">
        <f aca="false">'Comp - Retail'!Q41*1000</f>
        <v>-1419.77784429676</v>
      </c>
      <c r="Q22" s="62" t="n">
        <f aca="false">'Comp - Retail'!R41*1000</f>
        <v>-1561.75562872644</v>
      </c>
    </row>
    <row r="23" customFormat="false" ht="15" hidden="false" customHeight="true" outlineLevel="0" collapsed="false">
      <c r="A23" s="61" t="s">
        <v>557</v>
      </c>
      <c r="B23" s="65" t="n">
        <f aca="false">SUM(C23:Q23)</f>
        <v>-9688.48938513171</v>
      </c>
      <c r="C23" s="62" t="n">
        <f aca="false">'Comp - Retail'!D42*1000</f>
        <v>-0</v>
      </c>
      <c r="D23" s="62" t="n">
        <f aca="false">'Comp - Retail'!E42*1000</f>
        <v>-0</v>
      </c>
      <c r="E23" s="62" t="n">
        <f aca="false">'Comp - Retail'!F42*1000</f>
        <v>-569.911140301865</v>
      </c>
      <c r="F23" s="62" t="n">
        <f aca="false">'Comp - Retail'!G42*1000</f>
        <v>-759.881520402487</v>
      </c>
      <c r="G23" s="62" t="n">
        <f aca="false">'Comp - Retail'!H42*1000</f>
        <v>-759.881520402487</v>
      </c>
      <c r="H23" s="62" t="n">
        <f aca="false">'Comp - Retail'!I42*1000</f>
        <v>-759.881520402487</v>
      </c>
      <c r="I23" s="62" t="n">
        <f aca="false">'Comp - Retail'!J42*1000</f>
        <v>-759.881520402487</v>
      </c>
      <c r="J23" s="62" t="n">
        <f aca="false">'Comp - Retail'!K42*1000</f>
        <v>-759.881520402487</v>
      </c>
      <c r="K23" s="62" t="n">
        <f aca="false">'Comp - Retail'!L42*1000</f>
        <v>-759.881520402487</v>
      </c>
      <c r="L23" s="62" t="n">
        <f aca="false">'Comp - Retail'!M42*1000</f>
        <v>-759.881520402487</v>
      </c>
      <c r="M23" s="62" t="n">
        <f aca="false">'Comp - Retail'!N42*1000</f>
        <v>-759.881520402487</v>
      </c>
      <c r="N23" s="62" t="n">
        <f aca="false">'Comp - Retail'!O42*1000</f>
        <v>-759.881520402487</v>
      </c>
      <c r="O23" s="62" t="n">
        <f aca="false">'Comp - Retail'!P42*1000</f>
        <v>-759.881520402487</v>
      </c>
      <c r="P23" s="62" t="n">
        <f aca="false">'Comp - Retail'!Q42*1000</f>
        <v>-759.881520402487</v>
      </c>
      <c r="Q23" s="62" t="n">
        <f aca="false">'Comp - Retail'!R42*1000</f>
        <v>-759.881520402487</v>
      </c>
    </row>
    <row r="24" customFormat="false" ht="15" hidden="false" customHeight="true" outlineLevel="0" collapsed="false">
      <c r="A24" s="61" t="s">
        <v>558</v>
      </c>
      <c r="B24" s="65" t="n">
        <f aca="false">SUM(C24:Q24)</f>
        <v>-53539.7042049321</v>
      </c>
      <c r="C24" s="62" t="n">
        <f aca="false">'Comp - Retail'!D43*1000</f>
        <v>-0</v>
      </c>
      <c r="D24" s="62" t="n">
        <f aca="false">'Comp - Retail'!E43*1000</f>
        <v>-0</v>
      </c>
      <c r="E24" s="62" t="n">
        <f aca="false">'Comp - Retail'!F43*1000</f>
        <v>-1828.48663168466</v>
      </c>
      <c r="F24" s="62" t="n">
        <f aca="false">'Comp - Retail'!G43*1000</f>
        <v>-3748.39759495356</v>
      </c>
      <c r="G24" s="62" t="n">
        <f aca="false">'Comp - Retail'!H43*1000</f>
        <v>-3842.1075348274</v>
      </c>
      <c r="H24" s="62" t="n">
        <f aca="false">'Comp - Retail'!I43*1000</f>
        <v>-3938.16022319808</v>
      </c>
      <c r="I24" s="62" t="n">
        <f aca="false">'Comp - Retail'!J43*1000</f>
        <v>-4036.61422877803</v>
      </c>
      <c r="J24" s="62" t="n">
        <f aca="false">'Comp - Retail'!K43*1000</f>
        <v>-4137.52958449749</v>
      </c>
      <c r="K24" s="62" t="n">
        <f aca="false">'Comp - Retail'!L43*1000</f>
        <v>-4240.96782410992</v>
      </c>
      <c r="L24" s="62" t="n">
        <f aca="false">'Comp - Retail'!M43*1000</f>
        <v>-4346.99201971267</v>
      </c>
      <c r="M24" s="62" t="n">
        <f aca="false">'Comp - Retail'!N43*1000</f>
        <v>-4455.66682020549</v>
      </c>
      <c r="N24" s="62" t="n">
        <f aca="false">'Comp - Retail'!O43*1000</f>
        <v>-4567.05849071062</v>
      </c>
      <c r="O24" s="62" t="n">
        <f aca="false">'Comp - Retail'!P43*1000</f>
        <v>-4681.23495297839</v>
      </c>
      <c r="P24" s="62" t="n">
        <f aca="false">'Comp - Retail'!Q43*1000</f>
        <v>-4798.26582680285</v>
      </c>
      <c r="Q24" s="62" t="n">
        <f aca="false">'Comp - Retail'!R43*1000</f>
        <v>-4918.22247247292</v>
      </c>
    </row>
    <row r="25" customFormat="false" ht="15" hidden="false" customHeight="true" outlineLevel="0" collapsed="false">
      <c r="A25" s="67" t="s">
        <v>559</v>
      </c>
      <c r="B25" s="68" t="n">
        <f aca="false">SUM(C25:Q25)</f>
        <v>514523.974122896</v>
      </c>
      <c r="C25" s="74" t="n">
        <f aca="false">SUM(C20:C24)</f>
        <v>0</v>
      </c>
      <c r="D25" s="74" t="n">
        <f aca="false">SUM(D20:D24)</f>
        <v>0</v>
      </c>
      <c r="E25" s="74" t="n">
        <f aca="false">SUM(E20:E24)</f>
        <v>1630.98917348279</v>
      </c>
      <c r="F25" s="74" t="n">
        <f aca="false">SUM(F20:F24)</f>
        <v>20836.0979348139</v>
      </c>
      <c r="G25" s="74" t="n">
        <f aca="false">SUM(G20:G24)</f>
        <v>31176.9009655813</v>
      </c>
      <c r="H25" s="74" t="n">
        <f aca="false">SUM(H20:H24)</f>
        <v>40769.7073631904</v>
      </c>
      <c r="I25" s="74" t="n">
        <f aca="false">SUM(I20:I24)</f>
        <v>40416.4767951104</v>
      </c>
      <c r="J25" s="74" t="n">
        <f aca="false">SUM(J20:J24)</f>
        <v>40054.4154628285</v>
      </c>
      <c r="K25" s="74" t="n">
        <f aca="false">SUM(K20:K24)</f>
        <v>45249.1837579185</v>
      </c>
      <c r="L25" s="74" t="n">
        <f aca="false">SUM(L20:L24)</f>
        <v>44868.7930706898</v>
      </c>
      <c r="M25" s="74" t="n">
        <f aca="false">SUM(M20:M24)</f>
        <v>44478.8926162804</v>
      </c>
      <c r="N25" s="74" t="n">
        <f aca="false">SUM(N20:N24)</f>
        <v>50201.7139272577</v>
      </c>
      <c r="O25" s="74" t="n">
        <f aca="false">SUM(O20:O24)</f>
        <v>49792.0747623438</v>
      </c>
      <c r="P25" s="74" t="n">
        <f aca="false">SUM(P20:P24)</f>
        <v>49372.194618307</v>
      </c>
      <c r="Q25" s="74" t="n">
        <f aca="false">SUM(Q20:Q24)</f>
        <v>55676.5336750911</v>
      </c>
    </row>
    <row r="27" customFormat="false" ht="15" hidden="false" customHeight="true" outlineLevel="0" collapsed="false">
      <c r="A27" s="60" t="s">
        <v>7</v>
      </c>
    </row>
    <row r="28" customFormat="false" ht="15" hidden="false" customHeight="true" outlineLevel="0" collapsed="false">
      <c r="A28" s="69" t="s">
        <v>532</v>
      </c>
      <c r="B28" s="65" t="n">
        <f aca="false">SUM(C28:Q28)</f>
        <v>48840.5541162444</v>
      </c>
      <c r="C28" s="70" t="n">
        <f aca="false">'Comp - Retail'!D6*1000</f>
        <v>11270.8971037487</v>
      </c>
      <c r="D28" s="70" t="n">
        <f aca="false">'Comp - Retail'!E6*1000</f>
        <v>37569.6570124957</v>
      </c>
      <c r="E28" s="70" t="n">
        <f aca="false">'Comp - Retail'!F6*1000</f>
        <v>0</v>
      </c>
      <c r="F28" s="70" t="n">
        <f aca="false">'Comp - Retail'!G6*1000</f>
        <v>0</v>
      </c>
      <c r="G28" s="70" t="n">
        <f aca="false">'Comp - Retail'!H6*1000</f>
        <v>0</v>
      </c>
      <c r="H28" s="70" t="n">
        <f aca="false">'Comp - Retail'!I6*1000</f>
        <v>0</v>
      </c>
      <c r="I28" s="70" t="n">
        <f aca="false">'Comp - Retail'!J6*1000</f>
        <v>0</v>
      </c>
      <c r="J28" s="70" t="n">
        <f aca="false">'Comp - Retail'!K6*1000</f>
        <v>0</v>
      </c>
      <c r="K28" s="70" t="n">
        <f aca="false">'Comp - Retail'!L6*1000</f>
        <v>0</v>
      </c>
      <c r="L28" s="70" t="n">
        <f aca="false">'Comp - Retail'!M6*1000</f>
        <v>0</v>
      </c>
      <c r="M28" s="70" t="n">
        <f aca="false">'Comp - Retail'!N6*1000</f>
        <v>0</v>
      </c>
      <c r="N28" s="70" t="n">
        <f aca="false">'Comp - Retail'!O6*1000</f>
        <v>0</v>
      </c>
      <c r="O28" s="70" t="n">
        <f aca="false">'Comp - Retail'!P6*1000</f>
        <v>0</v>
      </c>
      <c r="P28" s="70" t="n">
        <f aca="false">'Comp - Retail'!Q6*1000</f>
        <v>0</v>
      </c>
      <c r="Q28" s="70" t="n">
        <f aca="false">'Comp - Retail'!R6*1000</f>
        <v>0</v>
      </c>
    </row>
    <row r="29" customFormat="false" ht="15" hidden="false" customHeight="true" outlineLevel="0" collapsed="false">
      <c r="A29" s="69" t="s">
        <v>533</v>
      </c>
      <c r="B29" s="65" t="n">
        <f aca="false">SUM(C29:Q29)</f>
        <v>45083.5884149948</v>
      </c>
      <c r="C29" s="70" t="n">
        <f aca="false">'Comp - Retail'!D7*1000</f>
        <v>0</v>
      </c>
      <c r="D29" s="70" t="n">
        <f aca="false">'Comp - Retail'!E7*1000</f>
        <v>24833.5432852596</v>
      </c>
      <c r="E29" s="70" t="n">
        <f aca="false">'Comp - Retail'!F7*1000</f>
        <v>20250.0451297352</v>
      </c>
      <c r="F29" s="70" t="n">
        <f aca="false">'Comp - Retail'!G7*1000</f>
        <v>0</v>
      </c>
      <c r="G29" s="70" t="n">
        <f aca="false">'Comp - Retail'!H7*1000</f>
        <v>0</v>
      </c>
      <c r="H29" s="70" t="n">
        <f aca="false">'Comp - Retail'!I7*1000</f>
        <v>0</v>
      </c>
      <c r="I29" s="70" t="n">
        <f aca="false">'Comp - Retail'!J7*1000</f>
        <v>0</v>
      </c>
      <c r="J29" s="70" t="n">
        <f aca="false">'Comp - Retail'!K7*1000</f>
        <v>0</v>
      </c>
      <c r="K29" s="70" t="n">
        <f aca="false">'Comp - Retail'!L7*1000</f>
        <v>0</v>
      </c>
      <c r="L29" s="70" t="n">
        <f aca="false">'Comp - Retail'!M7*1000</f>
        <v>0</v>
      </c>
      <c r="M29" s="70" t="n">
        <f aca="false">'Comp - Retail'!N7*1000</f>
        <v>0</v>
      </c>
      <c r="N29" s="70" t="n">
        <f aca="false">'Comp - Retail'!O7*1000</f>
        <v>0</v>
      </c>
      <c r="O29" s="70" t="n">
        <f aca="false">'Comp - Retail'!P7*1000</f>
        <v>0</v>
      </c>
      <c r="P29" s="70" t="n">
        <f aca="false">'Comp - Retail'!Q7*1000</f>
        <v>0</v>
      </c>
      <c r="Q29" s="70" t="n">
        <f aca="false">'Comp - Retail'!R7*1000</f>
        <v>0</v>
      </c>
    </row>
    <row r="30" customFormat="false" ht="15" hidden="false" customHeight="true" outlineLevel="0" collapsed="false">
      <c r="A30" s="69" t="s">
        <v>534</v>
      </c>
      <c r="B30" s="65" t="n">
        <f aca="false">SUM(C30:Q30)</f>
        <v>31851.159908747</v>
      </c>
      <c r="C30" s="70" t="n">
        <f aca="false">'Comp - Retail'!D8*1000</f>
        <v>0</v>
      </c>
      <c r="D30" s="70" t="n">
        <f aca="false">'Comp - Retail'!E8*1000</f>
        <v>20111.7323995231</v>
      </c>
      <c r="E30" s="70" t="n">
        <f aca="false">'Comp - Retail'!F8*1000</f>
        <v>11739.4275092239</v>
      </c>
      <c r="F30" s="70" t="n">
        <f aca="false">'Comp - Retail'!G8*1000</f>
        <v>0</v>
      </c>
      <c r="G30" s="70" t="n">
        <f aca="false">'Comp - Retail'!H8*1000</f>
        <v>0</v>
      </c>
      <c r="H30" s="70" t="n">
        <f aca="false">'Comp - Retail'!I8*1000</f>
        <v>0</v>
      </c>
      <c r="I30" s="70" t="n">
        <f aca="false">'Comp - Retail'!J8*1000</f>
        <v>0</v>
      </c>
      <c r="J30" s="70" t="n">
        <f aca="false">'Comp - Retail'!K8*1000</f>
        <v>0</v>
      </c>
      <c r="K30" s="70" t="n">
        <f aca="false">'Comp - Retail'!L8*1000</f>
        <v>0</v>
      </c>
      <c r="L30" s="70" t="n">
        <f aca="false">'Comp - Retail'!M8*1000</f>
        <v>0</v>
      </c>
      <c r="M30" s="70" t="n">
        <f aca="false">'Comp - Retail'!N8*1000</f>
        <v>0</v>
      </c>
      <c r="N30" s="70" t="n">
        <f aca="false">'Comp - Retail'!O8*1000</f>
        <v>0</v>
      </c>
      <c r="O30" s="70" t="n">
        <f aca="false">'Comp - Retail'!P8*1000</f>
        <v>0</v>
      </c>
      <c r="P30" s="70" t="n">
        <f aca="false">'Comp - Retail'!Q8*1000</f>
        <v>0</v>
      </c>
      <c r="Q30" s="70" t="n">
        <f aca="false">'Comp - Retail'!R8*1000</f>
        <v>0</v>
      </c>
    </row>
    <row r="31" customFormat="false" ht="15" hidden="false" customHeight="true" outlineLevel="0" collapsed="false">
      <c r="A31" s="69" t="s">
        <v>535</v>
      </c>
      <c r="B31" s="65" t="n">
        <f aca="false">SUM(C31:Q31)</f>
        <v>29621.5787151347</v>
      </c>
      <c r="C31" s="70" t="n">
        <f aca="false">'Comp - Retail'!D9*1000</f>
        <v>1228.54473933738</v>
      </c>
      <c r="D31" s="70" t="n">
        <f aca="false">'Comp - Retail'!E9*1000</f>
        <v>14378.5236159486</v>
      </c>
      <c r="E31" s="70" t="n">
        <f aca="false">'Comp - Retail'!F9*1000</f>
        <v>14014.5103598487</v>
      </c>
      <c r="F31" s="70" t="n">
        <f aca="false">'Comp - Retail'!G9*1000</f>
        <v>0</v>
      </c>
      <c r="G31" s="70" t="n">
        <f aca="false">'Comp - Retail'!H9*1000</f>
        <v>0</v>
      </c>
      <c r="H31" s="70" t="n">
        <f aca="false">'Comp - Retail'!I9*1000</f>
        <v>0</v>
      </c>
      <c r="I31" s="70" t="n">
        <f aca="false">'Comp - Retail'!J9*1000</f>
        <v>0</v>
      </c>
      <c r="J31" s="70" t="n">
        <f aca="false">'Comp - Retail'!K9*1000</f>
        <v>0</v>
      </c>
      <c r="K31" s="70" t="n">
        <f aca="false">'Comp - Retail'!L9*1000</f>
        <v>0</v>
      </c>
      <c r="L31" s="70" t="n">
        <f aca="false">'Comp - Retail'!M9*1000</f>
        <v>0</v>
      </c>
      <c r="M31" s="70" t="n">
        <f aca="false">'Comp - Retail'!N9*1000</f>
        <v>0</v>
      </c>
      <c r="N31" s="70" t="n">
        <f aca="false">'Comp - Retail'!O9*1000</f>
        <v>0</v>
      </c>
      <c r="O31" s="70" t="n">
        <f aca="false">'Comp - Retail'!P9*1000</f>
        <v>0</v>
      </c>
      <c r="P31" s="70" t="n">
        <f aca="false">'Comp - Retail'!Q9*1000</f>
        <v>0</v>
      </c>
      <c r="Q31" s="70" t="n">
        <f aca="false">'Comp - Retail'!R9*1000</f>
        <v>0</v>
      </c>
    </row>
    <row r="32" customFormat="false" ht="15" hidden="false" customHeight="true" outlineLevel="0" collapsed="false">
      <c r="A32" s="69" t="s">
        <v>583</v>
      </c>
      <c r="B32" s="65" t="n">
        <f aca="false">SUM(C32:Q32)</f>
        <v>0</v>
      </c>
      <c r="C32" s="70" t="n">
        <f aca="false">('Comp - Retail'!D10+'Comp - Retail'!D11)*1000</f>
        <v>0</v>
      </c>
      <c r="D32" s="70" t="n">
        <f aca="false">('Comp - Retail'!E10+'Comp - Retail'!E11)*1000</f>
        <v>0</v>
      </c>
      <c r="E32" s="70" t="n">
        <f aca="false">('Comp - Retail'!F10+'Comp - Retail'!F11)*1000</f>
        <v>0</v>
      </c>
      <c r="F32" s="70" t="n">
        <f aca="false">('Comp - Retail'!G10+'Comp - Retail'!G11)*1000</f>
        <v>0</v>
      </c>
      <c r="G32" s="70" t="n">
        <f aca="false">('Comp - Retail'!H10+'Comp - Retail'!H11)*1000</f>
        <v>0</v>
      </c>
      <c r="H32" s="70" t="n">
        <f aca="false">('Comp - Retail'!I10+'Comp - Retail'!I11)*1000</f>
        <v>0</v>
      </c>
      <c r="I32" s="70" t="n">
        <f aca="false">('Comp - Retail'!J10+'Comp - Retail'!J11)*1000</f>
        <v>0</v>
      </c>
      <c r="J32" s="70" t="n">
        <f aca="false">('Comp - Retail'!K10+'Comp - Retail'!K11)*1000</f>
        <v>0</v>
      </c>
      <c r="K32" s="70" t="n">
        <f aca="false">('Comp - Retail'!L10+'Comp - Retail'!L11)*1000</f>
        <v>0</v>
      </c>
      <c r="L32" s="70" t="n">
        <f aca="false">('Comp - Retail'!M10+'Comp - Retail'!M11)*1000</f>
        <v>0</v>
      </c>
      <c r="M32" s="70" t="n">
        <f aca="false">('Comp - Retail'!N10+'Comp - Retail'!N11)*1000</f>
        <v>0</v>
      </c>
      <c r="N32" s="70" t="n">
        <f aca="false">('Comp - Retail'!O10+'Comp - Retail'!O11)*1000</f>
        <v>0</v>
      </c>
      <c r="O32" s="70" t="n">
        <f aca="false">('Comp - Retail'!P10+'Comp - Retail'!P11)*1000</f>
        <v>0</v>
      </c>
      <c r="P32" s="70" t="n">
        <f aca="false">('Comp - Retail'!Q10+'Comp - Retail'!Q11)*1000</f>
        <v>0</v>
      </c>
      <c r="Q32" s="70" t="n">
        <f aca="false">('Comp - Retail'!R10+'Comp - Retail'!R11)*1000</f>
        <v>0</v>
      </c>
    </row>
    <row r="33" customFormat="false" ht="15" hidden="false" customHeight="true" outlineLevel="0" collapsed="false">
      <c r="A33" s="69" t="s">
        <v>538</v>
      </c>
      <c r="B33" s="65" t="n">
        <f aca="false">SUM(C33:Q33)</f>
        <v>6825.24855187435</v>
      </c>
      <c r="C33" s="70" t="n">
        <f aca="false">('Comp - Retail'!D12+'Comp - Retail'!D13)*1000</f>
        <v>955.534797262409</v>
      </c>
      <c r="D33" s="70" t="n">
        <f aca="false">('Comp - Retail'!E12+'Comp - Retail'!E13)*1000</f>
        <v>4277.15575917459</v>
      </c>
      <c r="E33" s="70" t="n">
        <f aca="false">('Comp - Retail'!F12+'Comp - Retail'!F13)*1000</f>
        <v>1592.55799543735</v>
      </c>
      <c r="F33" s="70" t="n">
        <f aca="false">('Comp - Retail'!G12+'Comp - Retail'!G13)*1000</f>
        <v>0</v>
      </c>
      <c r="G33" s="70" t="n">
        <f aca="false">('Comp - Retail'!H12+'Comp - Retail'!H13)*1000</f>
        <v>0</v>
      </c>
      <c r="H33" s="70" t="n">
        <f aca="false">('Comp - Retail'!I12+'Comp - Retail'!I13)*1000</f>
        <v>0</v>
      </c>
      <c r="I33" s="70" t="n">
        <f aca="false">('Comp - Retail'!J12+'Comp - Retail'!J13)*1000</f>
        <v>0</v>
      </c>
      <c r="J33" s="70" t="n">
        <f aca="false">('Comp - Retail'!K12+'Comp - Retail'!K13)*1000</f>
        <v>0</v>
      </c>
      <c r="K33" s="70" t="n">
        <f aca="false">('Comp - Retail'!L12+'Comp - Retail'!L13)*1000</f>
        <v>0</v>
      </c>
      <c r="L33" s="70" t="n">
        <f aca="false">('Comp - Retail'!M12+'Comp - Retail'!M13)*1000</f>
        <v>0</v>
      </c>
      <c r="M33" s="70" t="n">
        <f aca="false">('Comp - Retail'!N12+'Comp - Retail'!N13)*1000</f>
        <v>0</v>
      </c>
      <c r="N33" s="70" t="n">
        <f aca="false">('Comp - Retail'!O12+'Comp - Retail'!O13)*1000</f>
        <v>0</v>
      </c>
      <c r="O33" s="70" t="n">
        <f aca="false">('Comp - Retail'!P12+'Comp - Retail'!P13)*1000</f>
        <v>0</v>
      </c>
      <c r="P33" s="70" t="n">
        <f aca="false">('Comp - Retail'!Q12+'Comp - Retail'!Q13)*1000</f>
        <v>0</v>
      </c>
      <c r="Q33" s="70" t="n">
        <f aca="false">('Comp - Retail'!R12+'Comp - Retail'!R13)*1000</f>
        <v>0</v>
      </c>
    </row>
    <row r="34" customFormat="false" ht="15" hidden="false" customHeight="true" outlineLevel="0" collapsed="false">
      <c r="A34" s="69" t="s">
        <v>539</v>
      </c>
      <c r="B34" s="65" t="n">
        <f aca="false">SUM(C34:Q34)</f>
        <v>12740.4639634988</v>
      </c>
      <c r="C34" s="70" t="n">
        <f aca="false">('Comp - Retail'!D14+'Comp - Retail'!D15+'Comp - Retail'!D16)*1000</f>
        <v>8053.79329121173</v>
      </c>
      <c r="D34" s="70" t="n">
        <f aca="false">('Comp - Retail'!E14+'Comp - Retail'!E15+'Comp - Retail'!E16)*1000</f>
        <v>3640.13256099965</v>
      </c>
      <c r="E34" s="70" t="n">
        <f aca="false">('Comp - Retail'!F14+'Comp - Retail'!F15+'Comp - Retail'!F16)*1000</f>
        <v>1046.5381112874</v>
      </c>
      <c r="F34" s="70" t="n">
        <f aca="false">('Comp - Retail'!G14+'Comp - Retail'!G15+'Comp - Retail'!G16)*1000</f>
        <v>0</v>
      </c>
      <c r="G34" s="70" t="n">
        <f aca="false">('Comp - Retail'!H14+'Comp - Retail'!H15+'Comp - Retail'!H16)*1000</f>
        <v>0</v>
      </c>
      <c r="H34" s="70" t="n">
        <f aca="false">('Comp - Retail'!I14+'Comp - Retail'!I15+'Comp - Retail'!I16)*1000</f>
        <v>0</v>
      </c>
      <c r="I34" s="70" t="n">
        <f aca="false">('Comp - Retail'!J14+'Comp - Retail'!J15+'Comp - Retail'!J16)*1000</f>
        <v>0</v>
      </c>
      <c r="J34" s="70" t="n">
        <f aca="false">('Comp - Retail'!K14+'Comp - Retail'!K15+'Comp - Retail'!K16)*1000</f>
        <v>0</v>
      </c>
      <c r="K34" s="70" t="n">
        <f aca="false">('Comp - Retail'!L14+'Comp - Retail'!L15+'Comp - Retail'!L16)*1000</f>
        <v>0</v>
      </c>
      <c r="L34" s="70" t="n">
        <f aca="false">('Comp - Retail'!M14+'Comp - Retail'!M15+'Comp - Retail'!M16)*1000</f>
        <v>0</v>
      </c>
      <c r="M34" s="70" t="n">
        <f aca="false">('Comp - Retail'!N14+'Comp - Retail'!N15+'Comp - Retail'!N16)*1000</f>
        <v>0</v>
      </c>
      <c r="N34" s="70" t="n">
        <f aca="false">('Comp - Retail'!O14+'Comp - Retail'!O15+'Comp - Retail'!O16)*1000</f>
        <v>0</v>
      </c>
      <c r="O34" s="70" t="n">
        <f aca="false">('Comp - Retail'!P14+'Comp - Retail'!P15+'Comp - Retail'!P16)*1000</f>
        <v>0</v>
      </c>
      <c r="P34" s="70" t="n">
        <f aca="false">('Comp - Retail'!Q14+'Comp - Retail'!Q15+'Comp - Retail'!Q16)*1000</f>
        <v>0</v>
      </c>
      <c r="Q34" s="70" t="n">
        <f aca="false">('Comp - Retail'!R14+'Comp - Retail'!R15+'Comp - Retail'!R16)*1000</f>
        <v>0</v>
      </c>
    </row>
    <row r="35" customFormat="false" ht="15" hidden="false" customHeight="true" outlineLevel="0" collapsed="false">
      <c r="A35" s="69" t="s">
        <v>540</v>
      </c>
      <c r="B35" s="65" t="n">
        <f aca="false">SUM(C35:Q35)</f>
        <v>5460.19884149948</v>
      </c>
      <c r="C35" s="70" t="n">
        <f aca="false">('Comp - Retail'!D17+'Comp - Retail'!D18)*1000</f>
        <v>409.514913112461</v>
      </c>
      <c r="D35" s="70" t="n">
        <f aca="false">('Comp - Retail'!E17+'Comp - Retail'!E18)*1000</f>
        <v>1365.04971037487</v>
      </c>
      <c r="E35" s="70" t="n">
        <f aca="false">('Comp - Retail'!F17+'Comp - Retail'!F18)*1000</f>
        <v>3685.63421801215</v>
      </c>
      <c r="F35" s="70" t="n">
        <f aca="false">('Comp - Retail'!G17+'Comp - Retail'!G18)*1000</f>
        <v>0</v>
      </c>
      <c r="G35" s="70" t="n">
        <f aca="false">('Comp - Retail'!H17+'Comp - Retail'!H18)*1000</f>
        <v>0</v>
      </c>
      <c r="H35" s="70" t="n">
        <f aca="false">('Comp - Retail'!I17+'Comp - Retail'!I18)*1000</f>
        <v>0</v>
      </c>
      <c r="I35" s="70" t="n">
        <f aca="false">('Comp - Retail'!J17+'Comp - Retail'!J18)*1000</f>
        <v>0</v>
      </c>
      <c r="J35" s="70" t="n">
        <f aca="false">('Comp - Retail'!K17+'Comp - Retail'!K18)*1000</f>
        <v>0</v>
      </c>
      <c r="K35" s="70" t="n">
        <f aca="false">('Comp - Retail'!L17+'Comp - Retail'!L18)*1000</f>
        <v>0</v>
      </c>
      <c r="L35" s="70" t="n">
        <f aca="false">('Comp - Retail'!M17+'Comp - Retail'!M18)*1000</f>
        <v>0</v>
      </c>
      <c r="M35" s="70" t="n">
        <f aca="false">('Comp - Retail'!N17+'Comp - Retail'!N18)*1000</f>
        <v>0</v>
      </c>
      <c r="N35" s="70" t="n">
        <f aca="false">('Comp - Retail'!O17+'Comp - Retail'!O18)*1000</f>
        <v>0</v>
      </c>
      <c r="O35" s="70" t="n">
        <f aca="false">('Comp - Retail'!P17+'Comp - Retail'!P18)*1000</f>
        <v>0</v>
      </c>
      <c r="P35" s="70" t="n">
        <f aca="false">('Comp - Retail'!Q17+'Comp - Retail'!Q18)*1000</f>
        <v>0</v>
      </c>
      <c r="Q35" s="70" t="n">
        <f aca="false">('Comp - Retail'!R17+'Comp - Retail'!R18)*1000</f>
        <v>0</v>
      </c>
    </row>
    <row r="36" customFormat="false" ht="15" hidden="false" customHeight="true" outlineLevel="0" collapsed="false">
      <c r="A36" s="69" t="s">
        <v>541</v>
      </c>
      <c r="B36" s="65" t="n">
        <f aca="false">SUM(C36:Q36)</f>
        <v>19830</v>
      </c>
      <c r="C36" s="70" t="n">
        <f aca="false">'Comp - Retail'!D21*1000</f>
        <v>0</v>
      </c>
      <c r="D36" s="70" t="n">
        <f aca="false">'Comp - Retail'!E21*1000</f>
        <v>0</v>
      </c>
      <c r="E36" s="70" t="n">
        <f aca="false">'Comp - Retail'!F21*1000</f>
        <v>9915</v>
      </c>
      <c r="F36" s="70" t="n">
        <f aca="false">'Comp - Retail'!G21*1000</f>
        <v>9915</v>
      </c>
      <c r="G36" s="70" t="n">
        <f aca="false">'Comp - Retail'!H21*1000</f>
        <v>0</v>
      </c>
      <c r="H36" s="70" t="n">
        <f aca="false">'Comp - Retail'!I21*1000</f>
        <v>0</v>
      </c>
      <c r="I36" s="70" t="n">
        <f aca="false">'Comp - Retail'!J21*1000</f>
        <v>0</v>
      </c>
      <c r="J36" s="70" t="n">
        <f aca="false">'Comp - Retail'!K21*1000</f>
        <v>0</v>
      </c>
      <c r="K36" s="70" t="n">
        <f aca="false">'Comp - Retail'!L21*1000</f>
        <v>0</v>
      </c>
      <c r="L36" s="70" t="n">
        <f aca="false">'Comp - Retail'!M21*1000</f>
        <v>0</v>
      </c>
      <c r="M36" s="70" t="n">
        <f aca="false">'Comp - Retail'!N21*1000</f>
        <v>0</v>
      </c>
      <c r="N36" s="70" t="n">
        <f aca="false">'Comp - Retail'!O21*1000</f>
        <v>0</v>
      </c>
      <c r="O36" s="70" t="n">
        <f aca="false">'Comp - Retail'!P21*1000</f>
        <v>0</v>
      </c>
      <c r="P36" s="70" t="n">
        <f aca="false">'Comp - Retail'!Q21*1000</f>
        <v>0</v>
      </c>
      <c r="Q36" s="70" t="n">
        <f aca="false">'Comp - Retail'!R21*1000</f>
        <v>0</v>
      </c>
    </row>
    <row r="37" customFormat="false" ht="15" hidden="false" customHeight="true" outlineLevel="0" collapsed="false">
      <c r="A37" s="75" t="s">
        <v>542</v>
      </c>
      <c r="B37" s="68" t="n">
        <f aca="false">SUM(C37:Q37)</f>
        <v>200252.792511993</v>
      </c>
      <c r="C37" s="74" t="n">
        <f aca="false">SUM(C28:C36)</f>
        <v>21918.2848446727</v>
      </c>
      <c r="D37" s="74" t="n">
        <f aca="false">SUM(D28:D36)</f>
        <v>106175.794343776</v>
      </c>
      <c r="E37" s="74" t="n">
        <f aca="false">SUM(E28:E36)</f>
        <v>62243.7133235446</v>
      </c>
      <c r="F37" s="74" t="n">
        <f aca="false">SUM(F28:F36)</f>
        <v>9915</v>
      </c>
      <c r="G37" s="74" t="n">
        <f aca="false">SUM(G28:G36)</f>
        <v>0</v>
      </c>
      <c r="H37" s="74" t="n">
        <f aca="false">SUM(H28:H36)</f>
        <v>0</v>
      </c>
      <c r="I37" s="74" t="n">
        <f aca="false">SUM(I28:I36)</f>
        <v>0</v>
      </c>
      <c r="J37" s="74" t="n">
        <f aca="false">SUM(J28:J36)</f>
        <v>0</v>
      </c>
      <c r="K37" s="74" t="n">
        <f aca="false">SUM(K28:K36)</f>
        <v>0</v>
      </c>
      <c r="L37" s="74" t="n">
        <f aca="false">SUM(L28:L36)</f>
        <v>0</v>
      </c>
      <c r="M37" s="74" t="n">
        <f aca="false">SUM(M28:M36)</f>
        <v>0</v>
      </c>
      <c r="N37" s="74" t="n">
        <f aca="false">SUM(N28:N36)</f>
        <v>0</v>
      </c>
      <c r="O37" s="74" t="n">
        <f aca="false">SUM(O28:O36)</f>
        <v>0</v>
      </c>
      <c r="P37" s="74" t="n">
        <f aca="false">SUM(P28:P36)</f>
        <v>0</v>
      </c>
      <c r="Q37" s="74" t="n">
        <f aca="false">SUM(Q28:Q36)</f>
        <v>0</v>
      </c>
    </row>
    <row r="39" customFormat="false" ht="15" hidden="false" customHeight="true" outlineLevel="0" collapsed="false">
      <c r="A39" s="64" t="s">
        <v>543</v>
      </c>
      <c r="B39" s="65" t="n">
        <f aca="false">SUM(C39:Q39)</f>
        <v>314271.181610902</v>
      </c>
      <c r="C39" s="66" t="n">
        <f aca="false">C25-C37</f>
        <v>-21918.2848446727</v>
      </c>
      <c r="D39" s="66" t="n">
        <f aca="false">D25-D37</f>
        <v>-106175.794343776</v>
      </c>
      <c r="E39" s="66" t="n">
        <f aca="false">E25-E37</f>
        <v>-60612.7241500618</v>
      </c>
      <c r="F39" s="66" t="n">
        <f aca="false">F25-F37</f>
        <v>10921.0979348139</v>
      </c>
      <c r="G39" s="66" t="n">
        <f aca="false">G25-G37</f>
        <v>31176.9009655813</v>
      </c>
      <c r="H39" s="66" t="n">
        <f aca="false">H25-H37</f>
        <v>40769.7073631904</v>
      </c>
      <c r="I39" s="66" t="n">
        <f aca="false">I25-I37</f>
        <v>40416.4767951104</v>
      </c>
      <c r="J39" s="66" t="n">
        <f aca="false">J25-J37</f>
        <v>40054.4154628285</v>
      </c>
      <c r="K39" s="66" t="n">
        <f aca="false">K25-K37</f>
        <v>45249.1837579185</v>
      </c>
      <c r="L39" s="66" t="n">
        <f aca="false">L25-L37</f>
        <v>44868.7930706898</v>
      </c>
      <c r="M39" s="66" t="n">
        <f aca="false">M25-M37</f>
        <v>44478.8926162804</v>
      </c>
      <c r="N39" s="66" t="n">
        <f aca="false">N25-N37</f>
        <v>50201.7139272577</v>
      </c>
      <c r="O39" s="66" t="n">
        <f aca="false">O25-O37</f>
        <v>49792.0747623438</v>
      </c>
      <c r="P39" s="66" t="n">
        <f aca="false">P25-P37</f>
        <v>49372.194618307</v>
      </c>
      <c r="Q39" s="66" t="n">
        <f aca="false">Q25-Q37</f>
        <v>55676.5336750911</v>
      </c>
    </row>
    <row r="40" customFormat="false" ht="15" hidden="false" customHeight="true" outlineLevel="0" collapsed="false">
      <c r="A40" s="69" t="s">
        <v>544</v>
      </c>
      <c r="B40" s="65" t="n">
        <f aca="false">SUM(C40:Q40)</f>
        <v>530733.448490899</v>
      </c>
      <c r="C40" s="70" t="n">
        <f aca="false">IF(2026=2040,'Comp - Retail'!S44/Inputs!$B$197*(1-(1+Inputs!$B$197)^-(Inputs!$B$55-2040))*1000,0)</f>
        <v>0</v>
      </c>
      <c r="D40" s="70" t="n">
        <f aca="false">IF(2027=2040,'Comp - Retail'!S44/Inputs!$B$197*(1-(1+Inputs!$B$197)^-(Inputs!$B$55-2040))*1000,0)</f>
        <v>0</v>
      </c>
      <c r="E40" s="70" t="n">
        <f aca="false">IF(2028=2040,'Comp - Retail'!S44/Inputs!$B$197*(1-(1+Inputs!$B$197)^-(Inputs!$B$55-2040))*1000,0)</f>
        <v>0</v>
      </c>
      <c r="F40" s="70" t="n">
        <f aca="false">IF(2029=2040,'Comp - Retail'!S44/Inputs!$B$197*(1-(1+Inputs!$B$197)^-(Inputs!$B$55-2040))*1000,0)</f>
        <v>0</v>
      </c>
      <c r="G40" s="70" t="n">
        <f aca="false">IF(2030=2040,'Comp - Retail'!S44/Inputs!$B$197*(1-(1+Inputs!$B$197)^-(Inputs!$B$55-2040))*1000,0)</f>
        <v>0</v>
      </c>
      <c r="H40" s="70" t="n">
        <f aca="false">IF(2031=2040,'Comp - Retail'!S44/Inputs!$B$197*(1-(1+Inputs!$B$197)^-(Inputs!$B$55-2040))*1000,0)</f>
        <v>0</v>
      </c>
      <c r="I40" s="70" t="n">
        <f aca="false">IF(2032=2040,'Comp - Retail'!S44/Inputs!$B$197*(1-(1+Inputs!$B$197)^-(Inputs!$B$55-2040))*1000,0)</f>
        <v>0</v>
      </c>
      <c r="J40" s="70" t="n">
        <f aca="false">IF(2033=2040,'Comp - Retail'!S44/Inputs!$B$197*(1-(1+Inputs!$B$197)^-(Inputs!$B$55-2040))*1000,0)</f>
        <v>0</v>
      </c>
      <c r="K40" s="70" t="n">
        <f aca="false">IF(2034=2040,'Comp - Retail'!S44/Inputs!$B$197*(1-(1+Inputs!$B$197)^-(Inputs!$B$55-2040))*1000,0)</f>
        <v>0</v>
      </c>
      <c r="L40" s="70" t="n">
        <f aca="false">IF(2035=2040,'Comp - Retail'!S44/Inputs!$B$197*(1-(1+Inputs!$B$197)^-(Inputs!$B$55-2040))*1000,0)</f>
        <v>0</v>
      </c>
      <c r="M40" s="70" t="n">
        <f aca="false">IF(2036=2040,'Comp - Retail'!S44/Inputs!$B$197*(1-(1+Inputs!$B$197)^-(Inputs!$B$55-2040))*1000,0)</f>
        <v>0</v>
      </c>
      <c r="N40" s="70" t="n">
        <f aca="false">IF(2037=2040,'Comp - Retail'!S44/Inputs!$B$197*(1-(1+Inputs!$B$197)^-(Inputs!$B$55-2040))*1000,0)</f>
        <v>0</v>
      </c>
      <c r="O40" s="70" t="n">
        <f aca="false">IF(2038=2040,'Comp - Retail'!S44/Inputs!$B$197*(1-(1+Inputs!$B$197)^-(Inputs!$B$55-2040))*1000,0)</f>
        <v>0</v>
      </c>
      <c r="P40" s="70" t="n">
        <f aca="false">IF(2039=2040,'Comp - Retail'!S44/Inputs!$B$197*(1-(1+Inputs!$B$197)^-(Inputs!$B$55-2040))*1000,0)</f>
        <v>0</v>
      </c>
      <c r="Q40" s="70" t="n">
        <f aca="false">IF(2040=2040,'Comp - Retail'!S44/Inputs!$B$197*(1-(1+Inputs!$B$197)^-(Inputs!$B$55-2040))*1000,0)</f>
        <v>530733.448490899</v>
      </c>
    </row>
    <row r="41" customFormat="false" ht="15" hidden="false" customHeight="true" outlineLevel="0" collapsed="false">
      <c r="A41" s="75" t="s">
        <v>545</v>
      </c>
      <c r="B41" s="68" t="n">
        <f aca="false">SUM(C41:Q41)</f>
        <v>845004.630101801</v>
      </c>
      <c r="C41" s="74" t="n">
        <f aca="false">C39+C40</f>
        <v>-21918.2848446727</v>
      </c>
      <c r="D41" s="74" t="n">
        <f aca="false">D39+D40</f>
        <v>-106175.794343776</v>
      </c>
      <c r="E41" s="74" t="n">
        <f aca="false">E39+E40</f>
        <v>-60612.7241500618</v>
      </c>
      <c r="F41" s="74" t="n">
        <f aca="false">F39+F40</f>
        <v>10921.0979348139</v>
      </c>
      <c r="G41" s="74" t="n">
        <f aca="false">G39+G40</f>
        <v>31176.9009655813</v>
      </c>
      <c r="H41" s="74" t="n">
        <f aca="false">H39+H40</f>
        <v>40769.7073631904</v>
      </c>
      <c r="I41" s="74" t="n">
        <f aca="false">I39+I40</f>
        <v>40416.4767951104</v>
      </c>
      <c r="J41" s="74" t="n">
        <f aca="false">J39+J40</f>
        <v>40054.4154628285</v>
      </c>
      <c r="K41" s="74" t="n">
        <f aca="false">K39+K40</f>
        <v>45249.1837579185</v>
      </c>
      <c r="L41" s="74" t="n">
        <f aca="false">L39+L40</f>
        <v>44868.7930706898</v>
      </c>
      <c r="M41" s="74" t="n">
        <f aca="false">M39+M40</f>
        <v>44478.8926162804</v>
      </c>
      <c r="N41" s="74" t="n">
        <f aca="false">N39+N40</f>
        <v>50201.7139272577</v>
      </c>
      <c r="O41" s="74" t="n">
        <f aca="false">O39+O40</f>
        <v>49792.0747623438</v>
      </c>
      <c r="P41" s="74" t="n">
        <f aca="false">P39+P40</f>
        <v>49372.194618307</v>
      </c>
      <c r="Q41" s="74" t="n">
        <f aca="false">Q39+Q40</f>
        <v>586409.98216599</v>
      </c>
    </row>
    <row r="42" customFormat="false" ht="15" hidden="false" customHeight="true" outlineLevel="0" collapsed="false">
      <c r="A42" s="71" t="s">
        <v>584</v>
      </c>
      <c r="B42" s="72" t="n">
        <f aca="false">IFERROR(IRR(C41:Q41),0)</f>
        <v>0.199019344159026</v>
      </c>
    </row>
    <row r="44" customFormat="false" ht="15" hidden="false" customHeight="true" outlineLevel="0" collapsed="false">
      <c r="A44" s="73" t="s">
        <v>561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Z5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0"/>
    <col collapsed="false" customWidth="true" hidden="false" outlineLevel="0" max="2" min="2" style="1" width="26"/>
    <col collapsed="false" customWidth="true" hidden="false" outlineLevel="0" max="3" min="3" style="1" width="11"/>
    <col collapsed="false" customWidth="true" hidden="false" outlineLevel="0" max="52" min="4" style="1" width="9.52"/>
  </cols>
  <sheetData>
    <row r="1" customFormat="false" ht="17.25" hidden="false" customHeight="true" outlineLevel="0" collapsed="false">
      <c r="A1" s="8" t="s">
        <v>585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customFormat="false" ht="15" hidden="false" customHeight="true" outlineLevel="0" collapsed="false">
      <c r="A2" s="10" t="s">
        <v>586</v>
      </c>
    </row>
    <row r="4" customFormat="false" ht="15" hidden="false" customHeight="true" outlineLevel="0" collapsed="false">
      <c r="A4" s="6" t="s">
        <v>336</v>
      </c>
      <c r="B4" s="6" t="s">
        <v>337</v>
      </c>
      <c r="C4" s="46" t="s">
        <v>338</v>
      </c>
      <c r="D4" s="39" t="s">
        <v>64</v>
      </c>
      <c r="E4" s="39" t="s">
        <v>65</v>
      </c>
      <c r="F4" s="39" t="s">
        <v>66</v>
      </c>
      <c r="G4" s="39" t="s">
        <v>339</v>
      </c>
      <c r="H4" s="39" t="s">
        <v>340</v>
      </c>
      <c r="I4" s="39" t="s">
        <v>341</v>
      </c>
      <c r="J4" s="39" t="s">
        <v>342</v>
      </c>
      <c r="K4" s="39" t="s">
        <v>343</v>
      </c>
      <c r="L4" s="39" t="s">
        <v>344</v>
      </c>
      <c r="M4" s="39" t="s">
        <v>345</v>
      </c>
      <c r="N4" s="39" t="s">
        <v>346</v>
      </c>
      <c r="O4" s="39" t="s">
        <v>347</v>
      </c>
      <c r="P4" s="39" t="s">
        <v>348</v>
      </c>
      <c r="Q4" s="39" t="s">
        <v>349</v>
      </c>
      <c r="R4" s="39" t="s">
        <v>350</v>
      </c>
      <c r="S4" s="39" t="s">
        <v>351</v>
      </c>
      <c r="T4" s="39" t="s">
        <v>352</v>
      </c>
      <c r="U4" s="39" t="s">
        <v>353</v>
      </c>
      <c r="V4" s="39" t="s">
        <v>354</v>
      </c>
      <c r="W4" s="39" t="s">
        <v>355</v>
      </c>
      <c r="X4" s="39" t="s">
        <v>356</v>
      </c>
      <c r="Y4" s="39" t="s">
        <v>357</v>
      </c>
      <c r="Z4" s="39" t="s">
        <v>358</v>
      </c>
      <c r="AA4" s="39" t="s">
        <v>359</v>
      </c>
      <c r="AB4" s="39" t="s">
        <v>360</v>
      </c>
      <c r="AC4" s="39" t="s">
        <v>361</v>
      </c>
      <c r="AD4" s="39" t="s">
        <v>362</v>
      </c>
      <c r="AE4" s="39" t="s">
        <v>363</v>
      </c>
      <c r="AF4" s="39" t="s">
        <v>364</v>
      </c>
      <c r="AG4" s="39" t="s">
        <v>365</v>
      </c>
      <c r="AH4" s="39" t="s">
        <v>366</v>
      </c>
      <c r="AI4" s="39" t="s">
        <v>367</v>
      </c>
      <c r="AJ4" s="39" t="s">
        <v>368</v>
      </c>
      <c r="AK4" s="39" t="s">
        <v>369</v>
      </c>
      <c r="AL4" s="39" t="s">
        <v>370</v>
      </c>
      <c r="AM4" s="39" t="s">
        <v>371</v>
      </c>
      <c r="AN4" s="39" t="s">
        <v>372</v>
      </c>
      <c r="AO4" s="39" t="s">
        <v>373</v>
      </c>
      <c r="AP4" s="39" t="s">
        <v>374</v>
      </c>
      <c r="AQ4" s="39" t="s">
        <v>375</v>
      </c>
      <c r="AR4" s="39" t="s">
        <v>376</v>
      </c>
      <c r="AS4" s="39" t="s">
        <v>377</v>
      </c>
      <c r="AT4" s="39" t="s">
        <v>378</v>
      </c>
      <c r="AU4" s="39" t="s">
        <v>379</v>
      </c>
      <c r="AV4" s="39" t="s">
        <v>380</v>
      </c>
      <c r="AW4" s="39" t="s">
        <v>381</v>
      </c>
      <c r="AX4" s="39" t="s">
        <v>382</v>
      </c>
      <c r="AY4" s="39" t="s">
        <v>383</v>
      </c>
      <c r="AZ4" s="39" t="s">
        <v>384</v>
      </c>
    </row>
    <row r="5" customFormat="false" ht="15" hidden="false" customHeight="true" outlineLevel="0" collapsed="false">
      <c r="A5" s="11" t="s">
        <v>587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</row>
    <row r="6" customFormat="false" ht="15" hidden="false" customHeight="true" outlineLevel="0" collapsed="false">
      <c r="A6" s="13" t="s">
        <v>67</v>
      </c>
      <c r="C6" s="41" t="n">
        <f aca="false">SUM(D6:AZ6)</f>
        <v>48.8184984556456</v>
      </c>
      <c r="D6" s="40" t="n">
        <v>0</v>
      </c>
      <c r="E6" s="40" t="n">
        <f aca="false">SUM(Inputs!$B$26:$D$26)*(Inputs!$B$194/(Inputs!$B$194+Inputs!$B$195+Inputs!$B$196))*Inputs!$B$201*Inputs!$B$5*Inputs!$B$200</f>
        <v>9.76369969112912</v>
      </c>
      <c r="F6" s="40" t="n">
        <f aca="false">SUM(Inputs!$B$26:$D$26)*(Inputs!$B$194/(Inputs!$B$194+Inputs!$B$195+Inputs!$B$196))*Inputs!$B$202*Inputs!$B$5*Inputs!$B$200</f>
        <v>26.8501741506051</v>
      </c>
      <c r="G6" s="40" t="n">
        <f aca="false">SUM(Inputs!$B$26:$D$26)*(Inputs!$B$194/(Inputs!$B$194+Inputs!$B$195+Inputs!$B$196))*Inputs!$B$203*Inputs!$B$5*Inputs!$B$200</f>
        <v>12.2046246139114</v>
      </c>
      <c r="H6" s="40" t="n">
        <v>0</v>
      </c>
      <c r="I6" s="40" t="n">
        <v>0</v>
      </c>
      <c r="J6" s="40" t="n">
        <v>0</v>
      </c>
      <c r="K6" s="40" t="n">
        <v>0</v>
      </c>
      <c r="L6" s="40" t="n">
        <v>0</v>
      </c>
      <c r="M6" s="40" t="n">
        <v>0</v>
      </c>
      <c r="N6" s="40" t="n">
        <v>0</v>
      </c>
      <c r="O6" s="40" t="n">
        <v>0</v>
      </c>
      <c r="P6" s="40" t="n">
        <v>0</v>
      </c>
      <c r="Q6" s="40" t="n">
        <v>0</v>
      </c>
      <c r="R6" s="40" t="n">
        <v>0</v>
      </c>
      <c r="S6" s="40" t="n">
        <v>0</v>
      </c>
      <c r="T6" s="40" t="n">
        <v>0</v>
      </c>
      <c r="U6" s="40" t="n">
        <v>0</v>
      </c>
      <c r="V6" s="40" t="n">
        <v>0</v>
      </c>
      <c r="W6" s="40" t="n">
        <v>0</v>
      </c>
      <c r="X6" s="40" t="n">
        <v>0</v>
      </c>
      <c r="Y6" s="40" t="n">
        <v>0</v>
      </c>
      <c r="Z6" s="40" t="n">
        <v>0</v>
      </c>
      <c r="AA6" s="40" t="n">
        <v>0</v>
      </c>
      <c r="AB6" s="40" t="n">
        <v>0</v>
      </c>
      <c r="AC6" s="40" t="n">
        <v>0</v>
      </c>
      <c r="AD6" s="40" t="n">
        <v>0</v>
      </c>
      <c r="AE6" s="40" t="n">
        <v>0</v>
      </c>
      <c r="AF6" s="40" t="n">
        <v>0</v>
      </c>
      <c r="AG6" s="40" t="n">
        <v>0</v>
      </c>
      <c r="AH6" s="40" t="n">
        <v>0</v>
      </c>
      <c r="AI6" s="40" t="n">
        <v>0</v>
      </c>
      <c r="AJ6" s="40" t="n">
        <v>0</v>
      </c>
      <c r="AK6" s="40" t="n">
        <v>0</v>
      </c>
      <c r="AL6" s="40" t="n">
        <v>0</v>
      </c>
      <c r="AM6" s="40" t="n">
        <v>0</v>
      </c>
      <c r="AN6" s="40" t="n">
        <v>0</v>
      </c>
      <c r="AO6" s="40" t="n">
        <v>0</v>
      </c>
      <c r="AP6" s="40" t="n">
        <v>0</v>
      </c>
      <c r="AQ6" s="40" t="n">
        <v>0</v>
      </c>
      <c r="AR6" s="40" t="n">
        <v>0</v>
      </c>
      <c r="AS6" s="40" t="n">
        <v>0</v>
      </c>
      <c r="AT6" s="40" t="n">
        <v>0</v>
      </c>
      <c r="AU6" s="40" t="n">
        <v>0</v>
      </c>
      <c r="AV6" s="40" t="n">
        <v>0</v>
      </c>
      <c r="AW6" s="40" t="n">
        <v>0</v>
      </c>
      <c r="AX6" s="40" t="n">
        <v>0</v>
      </c>
      <c r="AY6" s="40" t="n">
        <v>0</v>
      </c>
      <c r="AZ6" s="40" t="n">
        <v>0</v>
      </c>
    </row>
    <row r="7" customFormat="false" ht="15" hidden="false" customHeight="true" outlineLevel="0" collapsed="false">
      <c r="A7" s="13" t="s">
        <v>68</v>
      </c>
      <c r="C7" s="41" t="n">
        <f aca="false">SUM(D7:AZ7)</f>
        <v>45.0632293436728</v>
      </c>
      <c r="D7" s="40" t="n">
        <v>0</v>
      </c>
      <c r="E7" s="40" t="n">
        <f aca="false">SUM(Inputs!$B$27:$D$27)*(Inputs!$B$194/(Inputs!$B$194+Inputs!$B$195+Inputs!$B$196))*Inputs!$B$201*Inputs!$B$5*Inputs!$B$200</f>
        <v>9.01264586873457</v>
      </c>
      <c r="F7" s="40" t="n">
        <f aca="false">SUM(Inputs!$B$27:$D$27)*(Inputs!$B$194/(Inputs!$B$194+Inputs!$B$195+Inputs!$B$196))*Inputs!$B$202*Inputs!$B$5*Inputs!$B$200</f>
        <v>24.7847761390201</v>
      </c>
      <c r="G7" s="40" t="n">
        <f aca="false">SUM(Inputs!$B$27:$D$27)*(Inputs!$B$194/(Inputs!$B$194+Inputs!$B$195+Inputs!$B$196))*Inputs!$B$203*Inputs!$B$5*Inputs!$B$200</f>
        <v>11.2658073359182</v>
      </c>
      <c r="H7" s="40" t="n">
        <v>0</v>
      </c>
      <c r="I7" s="40" t="n">
        <v>0</v>
      </c>
      <c r="J7" s="40" t="n">
        <v>0</v>
      </c>
      <c r="K7" s="40" t="n">
        <v>0</v>
      </c>
      <c r="L7" s="40" t="n">
        <v>0</v>
      </c>
      <c r="M7" s="40" t="n">
        <v>0</v>
      </c>
      <c r="N7" s="40" t="n">
        <v>0</v>
      </c>
      <c r="O7" s="40" t="n">
        <v>0</v>
      </c>
      <c r="P7" s="40" t="n">
        <v>0</v>
      </c>
      <c r="Q7" s="40" t="n">
        <v>0</v>
      </c>
      <c r="R7" s="40" t="n">
        <v>0</v>
      </c>
      <c r="S7" s="40" t="n">
        <v>0</v>
      </c>
      <c r="T7" s="40" t="n">
        <v>0</v>
      </c>
      <c r="U7" s="40" t="n">
        <v>0</v>
      </c>
      <c r="V7" s="40" t="n">
        <v>0</v>
      </c>
      <c r="W7" s="40" t="n">
        <v>0</v>
      </c>
      <c r="X7" s="40" t="n">
        <v>0</v>
      </c>
      <c r="Y7" s="40" t="n">
        <v>0</v>
      </c>
      <c r="Z7" s="40" t="n">
        <v>0</v>
      </c>
      <c r="AA7" s="40" t="n">
        <v>0</v>
      </c>
      <c r="AB7" s="40" t="n">
        <v>0</v>
      </c>
      <c r="AC7" s="40" t="n">
        <v>0</v>
      </c>
      <c r="AD7" s="40" t="n">
        <v>0</v>
      </c>
      <c r="AE7" s="40" t="n">
        <v>0</v>
      </c>
      <c r="AF7" s="40" t="n">
        <v>0</v>
      </c>
      <c r="AG7" s="40" t="n">
        <v>0</v>
      </c>
      <c r="AH7" s="40" t="n">
        <v>0</v>
      </c>
      <c r="AI7" s="40" t="n">
        <v>0</v>
      </c>
      <c r="AJ7" s="40" t="n">
        <v>0</v>
      </c>
      <c r="AK7" s="40" t="n">
        <v>0</v>
      </c>
      <c r="AL7" s="40" t="n">
        <v>0</v>
      </c>
      <c r="AM7" s="40" t="n">
        <v>0</v>
      </c>
      <c r="AN7" s="40" t="n">
        <v>0</v>
      </c>
      <c r="AO7" s="40" t="n">
        <v>0</v>
      </c>
      <c r="AP7" s="40" t="n">
        <v>0</v>
      </c>
      <c r="AQ7" s="40" t="n">
        <v>0</v>
      </c>
      <c r="AR7" s="40" t="n">
        <v>0</v>
      </c>
      <c r="AS7" s="40" t="n">
        <v>0</v>
      </c>
      <c r="AT7" s="40" t="n">
        <v>0</v>
      </c>
      <c r="AU7" s="40" t="n">
        <v>0</v>
      </c>
      <c r="AV7" s="40" t="n">
        <v>0</v>
      </c>
      <c r="AW7" s="40" t="n">
        <v>0</v>
      </c>
      <c r="AX7" s="40" t="n">
        <v>0</v>
      </c>
      <c r="AY7" s="40" t="n">
        <v>0</v>
      </c>
      <c r="AZ7" s="40" t="n">
        <v>0</v>
      </c>
    </row>
    <row r="8" customFormat="false" ht="15" hidden="false" customHeight="true" outlineLevel="0" collapsed="false">
      <c r="A8" s="13" t="s">
        <v>69</v>
      </c>
      <c r="C8" s="41" t="n">
        <f aca="false">SUM(D8:AZ8)</f>
        <v>26.2868837838092</v>
      </c>
      <c r="D8" s="40" t="n">
        <v>0</v>
      </c>
      <c r="E8" s="40" t="n">
        <f aca="false">SUM(Inputs!$B$28:$D$28)*(Inputs!$B$194/(Inputs!$B$194+Inputs!$B$195+Inputs!$B$196))*Inputs!$B$201*Inputs!$B$5*Inputs!$B$200</f>
        <v>5.25737675676183</v>
      </c>
      <c r="F8" s="40" t="n">
        <f aca="false">SUM(Inputs!$B$28:$D$28)*(Inputs!$B$194/(Inputs!$B$194+Inputs!$B$195+Inputs!$B$196))*Inputs!$B$202*Inputs!$B$5*Inputs!$B$200</f>
        <v>14.457786081095</v>
      </c>
      <c r="G8" s="40" t="n">
        <f aca="false">SUM(Inputs!$B$28:$D$28)*(Inputs!$B$194/(Inputs!$B$194+Inputs!$B$195+Inputs!$B$196))*Inputs!$B$203*Inputs!$B$5*Inputs!$B$200</f>
        <v>6.57172094595229</v>
      </c>
      <c r="H8" s="40" t="n">
        <v>0</v>
      </c>
      <c r="I8" s="40" t="n">
        <v>0</v>
      </c>
      <c r="J8" s="40" t="n">
        <v>0</v>
      </c>
      <c r="K8" s="40" t="n">
        <v>0</v>
      </c>
      <c r="L8" s="40" t="n">
        <v>0</v>
      </c>
      <c r="M8" s="40" t="n">
        <v>0</v>
      </c>
      <c r="N8" s="40" t="n">
        <v>0</v>
      </c>
      <c r="O8" s="40" t="n">
        <v>0</v>
      </c>
      <c r="P8" s="40" t="n">
        <v>0</v>
      </c>
      <c r="Q8" s="40" t="n">
        <v>0</v>
      </c>
      <c r="R8" s="40" t="n">
        <v>0</v>
      </c>
      <c r="S8" s="40" t="n">
        <v>0</v>
      </c>
      <c r="T8" s="40" t="n">
        <v>0</v>
      </c>
      <c r="U8" s="40" t="n">
        <v>0</v>
      </c>
      <c r="V8" s="40" t="n">
        <v>0</v>
      </c>
      <c r="W8" s="40" t="n">
        <v>0</v>
      </c>
      <c r="X8" s="40" t="n">
        <v>0</v>
      </c>
      <c r="Y8" s="40" t="n">
        <v>0</v>
      </c>
      <c r="Z8" s="40" t="n">
        <v>0</v>
      </c>
      <c r="AA8" s="40" t="n">
        <v>0</v>
      </c>
      <c r="AB8" s="40" t="n">
        <v>0</v>
      </c>
      <c r="AC8" s="40" t="n">
        <v>0</v>
      </c>
      <c r="AD8" s="40" t="n">
        <v>0</v>
      </c>
      <c r="AE8" s="40" t="n">
        <v>0</v>
      </c>
      <c r="AF8" s="40" t="n">
        <v>0</v>
      </c>
      <c r="AG8" s="40" t="n">
        <v>0</v>
      </c>
      <c r="AH8" s="40" t="n">
        <v>0</v>
      </c>
      <c r="AI8" s="40" t="n">
        <v>0</v>
      </c>
      <c r="AJ8" s="40" t="n">
        <v>0</v>
      </c>
      <c r="AK8" s="40" t="n">
        <v>0</v>
      </c>
      <c r="AL8" s="40" t="n">
        <v>0</v>
      </c>
      <c r="AM8" s="40" t="n">
        <v>0</v>
      </c>
      <c r="AN8" s="40" t="n">
        <v>0</v>
      </c>
      <c r="AO8" s="40" t="n">
        <v>0</v>
      </c>
      <c r="AP8" s="40" t="n">
        <v>0</v>
      </c>
      <c r="AQ8" s="40" t="n">
        <v>0</v>
      </c>
      <c r="AR8" s="40" t="n">
        <v>0</v>
      </c>
      <c r="AS8" s="40" t="n">
        <v>0</v>
      </c>
      <c r="AT8" s="40" t="n">
        <v>0</v>
      </c>
      <c r="AU8" s="40" t="n">
        <v>0</v>
      </c>
      <c r="AV8" s="40" t="n">
        <v>0</v>
      </c>
      <c r="AW8" s="40" t="n">
        <v>0</v>
      </c>
      <c r="AX8" s="40" t="n">
        <v>0</v>
      </c>
      <c r="AY8" s="40" t="n">
        <v>0</v>
      </c>
      <c r="AZ8" s="40" t="n">
        <v>0</v>
      </c>
    </row>
    <row r="9" customFormat="false" ht="15" hidden="false" customHeight="true" outlineLevel="0" collapsed="false">
      <c r="A9" s="13" t="s">
        <v>70</v>
      </c>
      <c r="C9" s="41" t="n">
        <f aca="false">SUM(D9:AZ9)</f>
        <v>24.4468019189425</v>
      </c>
      <c r="D9" s="40" t="n">
        <v>0</v>
      </c>
      <c r="E9" s="40" t="n">
        <f aca="false">SUM(Inputs!$B$29:$D$29)*(Inputs!$B$194/(Inputs!$B$194+Inputs!$B$195+Inputs!$B$196))*Inputs!$B$201*Inputs!$B$5*Inputs!$B$200</f>
        <v>4.8893603837885</v>
      </c>
      <c r="F9" s="40" t="n">
        <f aca="false">SUM(Inputs!$B$29:$D$29)*(Inputs!$B$194/(Inputs!$B$194+Inputs!$B$195+Inputs!$B$196))*Inputs!$B$202*Inputs!$B$5*Inputs!$B$200</f>
        <v>13.4457410554184</v>
      </c>
      <c r="G9" s="40" t="n">
        <f aca="false">SUM(Inputs!$B$29:$D$29)*(Inputs!$B$194/(Inputs!$B$194+Inputs!$B$195+Inputs!$B$196))*Inputs!$B$203*Inputs!$B$5*Inputs!$B$200</f>
        <v>6.11170047973563</v>
      </c>
      <c r="H9" s="40" t="n">
        <v>0</v>
      </c>
      <c r="I9" s="40" t="n">
        <v>0</v>
      </c>
      <c r="J9" s="40" t="n">
        <v>0</v>
      </c>
      <c r="K9" s="40" t="n">
        <v>0</v>
      </c>
      <c r="L9" s="40" t="n">
        <v>0</v>
      </c>
      <c r="M9" s="40" t="n">
        <v>0</v>
      </c>
      <c r="N9" s="40" t="n">
        <v>0</v>
      </c>
      <c r="O9" s="40" t="n">
        <v>0</v>
      </c>
      <c r="P9" s="40" t="n">
        <v>0</v>
      </c>
      <c r="Q9" s="40" t="n">
        <v>0</v>
      </c>
      <c r="R9" s="40" t="n">
        <v>0</v>
      </c>
      <c r="S9" s="40" t="n">
        <v>0</v>
      </c>
      <c r="T9" s="40" t="n">
        <v>0</v>
      </c>
      <c r="U9" s="40" t="n">
        <v>0</v>
      </c>
      <c r="V9" s="40" t="n">
        <v>0</v>
      </c>
      <c r="W9" s="40" t="n">
        <v>0</v>
      </c>
      <c r="X9" s="40" t="n">
        <v>0</v>
      </c>
      <c r="Y9" s="40" t="n">
        <v>0</v>
      </c>
      <c r="Z9" s="40" t="n">
        <v>0</v>
      </c>
      <c r="AA9" s="40" t="n">
        <v>0</v>
      </c>
      <c r="AB9" s="40" t="n">
        <v>0</v>
      </c>
      <c r="AC9" s="40" t="n">
        <v>0</v>
      </c>
      <c r="AD9" s="40" t="n">
        <v>0</v>
      </c>
      <c r="AE9" s="40" t="n">
        <v>0</v>
      </c>
      <c r="AF9" s="40" t="n">
        <v>0</v>
      </c>
      <c r="AG9" s="40" t="n">
        <v>0</v>
      </c>
      <c r="AH9" s="40" t="n">
        <v>0</v>
      </c>
      <c r="AI9" s="40" t="n">
        <v>0</v>
      </c>
      <c r="AJ9" s="40" t="n">
        <v>0</v>
      </c>
      <c r="AK9" s="40" t="n">
        <v>0</v>
      </c>
      <c r="AL9" s="40" t="n">
        <v>0</v>
      </c>
      <c r="AM9" s="40" t="n">
        <v>0</v>
      </c>
      <c r="AN9" s="40" t="n">
        <v>0</v>
      </c>
      <c r="AO9" s="40" t="n">
        <v>0</v>
      </c>
      <c r="AP9" s="40" t="n">
        <v>0</v>
      </c>
      <c r="AQ9" s="40" t="n">
        <v>0</v>
      </c>
      <c r="AR9" s="40" t="n">
        <v>0</v>
      </c>
      <c r="AS9" s="40" t="n">
        <v>0</v>
      </c>
      <c r="AT9" s="40" t="n">
        <v>0</v>
      </c>
      <c r="AU9" s="40" t="n">
        <v>0</v>
      </c>
      <c r="AV9" s="40" t="n">
        <v>0</v>
      </c>
      <c r="AW9" s="40" t="n">
        <v>0</v>
      </c>
      <c r="AX9" s="40" t="n">
        <v>0</v>
      </c>
      <c r="AY9" s="40" t="n">
        <v>0</v>
      </c>
      <c r="AZ9" s="40" t="n">
        <v>0</v>
      </c>
    </row>
    <row r="10" customFormat="false" ht="15" hidden="false" customHeight="true" outlineLevel="0" collapsed="false">
      <c r="A10" s="13" t="s">
        <v>328</v>
      </c>
      <c r="C10" s="41" t="n">
        <f aca="false">SUM(D10:AZ10)</f>
        <v>35</v>
      </c>
      <c r="D10" s="40" t="n">
        <v>0</v>
      </c>
      <c r="E10" s="40" t="n">
        <f aca="false">(SUM(Inputs!$B$30:$D$30)-Inputs!$B$48)*Inputs!$B$201*Inputs!$B$5*Inputs!$B$200</f>
        <v>7</v>
      </c>
      <c r="F10" s="40" t="n">
        <f aca="false">(SUM(Inputs!$B$30:$D$30)-Inputs!$B$48)*Inputs!$B$202*Inputs!$B$5*Inputs!$B$200</f>
        <v>19.25</v>
      </c>
      <c r="G10" s="40" t="n">
        <f aca="false">(SUM(Inputs!$B$30:$D$30)-Inputs!$B$48)*Inputs!$B$203*Inputs!$B$5*Inputs!$B$200</f>
        <v>8.75</v>
      </c>
      <c r="H10" s="40" t="n">
        <v>0</v>
      </c>
      <c r="I10" s="40" t="n">
        <v>0</v>
      </c>
      <c r="J10" s="40" t="n">
        <v>0</v>
      </c>
      <c r="K10" s="40" t="n">
        <v>0</v>
      </c>
      <c r="L10" s="40" t="n">
        <v>0</v>
      </c>
      <c r="M10" s="40" t="n">
        <v>0</v>
      </c>
      <c r="N10" s="40" t="n">
        <v>0</v>
      </c>
      <c r="O10" s="40" t="n">
        <v>0</v>
      </c>
      <c r="P10" s="40" t="n">
        <v>0</v>
      </c>
      <c r="Q10" s="40" t="n">
        <v>0</v>
      </c>
      <c r="R10" s="40" t="n">
        <v>0</v>
      </c>
      <c r="S10" s="40" t="n">
        <v>0</v>
      </c>
      <c r="T10" s="40" t="n">
        <v>0</v>
      </c>
      <c r="U10" s="40" t="n">
        <v>0</v>
      </c>
      <c r="V10" s="40" t="n">
        <v>0</v>
      </c>
      <c r="W10" s="40" t="n">
        <v>0</v>
      </c>
      <c r="X10" s="40" t="n">
        <v>0</v>
      </c>
      <c r="Y10" s="40" t="n">
        <v>0</v>
      </c>
      <c r="Z10" s="40" t="n">
        <v>0</v>
      </c>
      <c r="AA10" s="40" t="n">
        <v>0</v>
      </c>
      <c r="AB10" s="40" t="n">
        <v>0</v>
      </c>
      <c r="AC10" s="40" t="n">
        <v>0</v>
      </c>
      <c r="AD10" s="40" t="n">
        <v>0</v>
      </c>
      <c r="AE10" s="40" t="n">
        <v>0</v>
      </c>
      <c r="AF10" s="40" t="n">
        <v>0</v>
      </c>
      <c r="AG10" s="40" t="n">
        <v>0</v>
      </c>
      <c r="AH10" s="40" t="n">
        <v>0</v>
      </c>
      <c r="AI10" s="40" t="n">
        <v>0</v>
      </c>
      <c r="AJ10" s="40" t="n">
        <v>0</v>
      </c>
      <c r="AK10" s="40" t="n">
        <v>0</v>
      </c>
      <c r="AL10" s="40" t="n">
        <v>0</v>
      </c>
      <c r="AM10" s="40" t="n">
        <v>0</v>
      </c>
      <c r="AN10" s="40" t="n">
        <v>0</v>
      </c>
      <c r="AO10" s="40" t="n">
        <v>0</v>
      </c>
      <c r="AP10" s="40" t="n">
        <v>0</v>
      </c>
      <c r="AQ10" s="40" t="n">
        <v>0</v>
      </c>
      <c r="AR10" s="40" t="n">
        <v>0</v>
      </c>
      <c r="AS10" s="40" t="n">
        <v>0</v>
      </c>
      <c r="AT10" s="40" t="n">
        <v>0</v>
      </c>
      <c r="AU10" s="40" t="n">
        <v>0</v>
      </c>
      <c r="AV10" s="40" t="n">
        <v>0</v>
      </c>
      <c r="AW10" s="40" t="n">
        <v>0</v>
      </c>
      <c r="AX10" s="40" t="n">
        <v>0</v>
      </c>
      <c r="AY10" s="40" t="n">
        <v>0</v>
      </c>
      <c r="AZ10" s="40" t="n">
        <v>0</v>
      </c>
    </row>
    <row r="11" customFormat="false" ht="15" hidden="false" customHeight="true" outlineLevel="0" collapsed="false">
      <c r="A11" s="13" t="s">
        <v>72</v>
      </c>
      <c r="C11" s="41" t="n">
        <f aca="false">SUM(D11:AZ11)</f>
        <v>0</v>
      </c>
      <c r="D11" s="40" t="n">
        <v>0</v>
      </c>
      <c r="E11" s="40" t="n">
        <v>0</v>
      </c>
      <c r="F11" s="40" t="n">
        <v>0</v>
      </c>
      <c r="G11" s="40" t="n">
        <v>0</v>
      </c>
      <c r="H11" s="40" t="n">
        <v>0</v>
      </c>
      <c r="I11" s="40" t="n">
        <v>0</v>
      </c>
      <c r="J11" s="40" t="n">
        <v>0</v>
      </c>
      <c r="K11" s="40" t="n">
        <v>0</v>
      </c>
      <c r="L11" s="40" t="n">
        <v>0</v>
      </c>
      <c r="M11" s="40" t="n">
        <v>0</v>
      </c>
      <c r="N11" s="40" t="n">
        <v>0</v>
      </c>
      <c r="O11" s="40" t="n">
        <v>0</v>
      </c>
      <c r="P11" s="40" t="n">
        <v>0</v>
      </c>
      <c r="Q11" s="40" t="n">
        <v>0</v>
      </c>
      <c r="R11" s="40" t="n">
        <v>0</v>
      </c>
      <c r="S11" s="40" t="n">
        <v>0</v>
      </c>
      <c r="T11" s="40" t="n">
        <v>0</v>
      </c>
      <c r="U11" s="40" t="n">
        <v>0</v>
      </c>
      <c r="V11" s="40" t="n">
        <v>0</v>
      </c>
      <c r="W11" s="40" t="n">
        <v>0</v>
      </c>
      <c r="X11" s="40" t="n">
        <v>0</v>
      </c>
      <c r="Y11" s="40" t="n">
        <v>0</v>
      </c>
      <c r="Z11" s="40" t="n">
        <v>0</v>
      </c>
      <c r="AA11" s="40" t="n">
        <v>0</v>
      </c>
      <c r="AB11" s="40" t="n">
        <v>0</v>
      </c>
      <c r="AC11" s="40" t="n">
        <v>0</v>
      </c>
      <c r="AD11" s="40" t="n">
        <v>0</v>
      </c>
      <c r="AE11" s="40" t="n">
        <v>0</v>
      </c>
      <c r="AF11" s="40" t="n">
        <v>0</v>
      </c>
      <c r="AG11" s="40" t="n">
        <v>0</v>
      </c>
      <c r="AH11" s="40" t="n">
        <v>0</v>
      </c>
      <c r="AI11" s="40" t="n">
        <v>0</v>
      </c>
      <c r="AJ11" s="40" t="n">
        <v>0</v>
      </c>
      <c r="AK11" s="40" t="n">
        <v>0</v>
      </c>
      <c r="AL11" s="40" t="n">
        <v>0</v>
      </c>
      <c r="AM11" s="40" t="n">
        <v>0</v>
      </c>
      <c r="AN11" s="40" t="n">
        <v>0</v>
      </c>
      <c r="AO11" s="40" t="n">
        <v>0</v>
      </c>
      <c r="AP11" s="40" t="n">
        <v>0</v>
      </c>
      <c r="AQ11" s="40" t="n">
        <v>0</v>
      </c>
      <c r="AR11" s="40" t="n">
        <v>0</v>
      </c>
      <c r="AS11" s="40" t="n">
        <v>0</v>
      </c>
      <c r="AT11" s="40" t="n">
        <v>0</v>
      </c>
      <c r="AU11" s="40" t="n">
        <v>0</v>
      </c>
      <c r="AV11" s="40" t="n">
        <v>0</v>
      </c>
      <c r="AW11" s="40" t="n">
        <v>0</v>
      </c>
      <c r="AX11" s="40" t="n">
        <v>0</v>
      </c>
      <c r="AY11" s="40" t="n">
        <v>0</v>
      </c>
      <c r="AZ11" s="40" t="n">
        <v>0</v>
      </c>
    </row>
    <row r="12" customFormat="false" ht="15" hidden="false" customHeight="true" outlineLevel="0" collapsed="false">
      <c r="A12" s="13" t="s">
        <v>73</v>
      </c>
      <c r="C12" s="41" t="n">
        <f aca="false">SUM(D12:AZ12)</f>
        <v>4.13079602317001</v>
      </c>
      <c r="D12" s="40" t="n">
        <v>0</v>
      </c>
      <c r="E12" s="40" t="n">
        <f aca="false">SUM(Inputs!$B$32:$D$32)*(Inputs!$B$194/(Inputs!$B$194+Inputs!$B$195+Inputs!$B$196))*Inputs!$B$201*Inputs!$B$5*Inputs!$B$200</f>
        <v>0.826159204634002</v>
      </c>
      <c r="F12" s="40" t="n">
        <f aca="false">SUM(Inputs!$B$32:$D$32)*(Inputs!$B$194/(Inputs!$B$194+Inputs!$B$195+Inputs!$B$196))*Inputs!$B$202*Inputs!$B$5*Inputs!$B$200</f>
        <v>2.27193781274351</v>
      </c>
      <c r="G12" s="40" t="n">
        <f aca="false">SUM(Inputs!$B$32:$D$32)*(Inputs!$B$194/(Inputs!$B$194+Inputs!$B$195+Inputs!$B$196))*Inputs!$B$203*Inputs!$B$5*Inputs!$B$200</f>
        <v>1.0326990057925</v>
      </c>
      <c r="H12" s="40" t="n">
        <v>0</v>
      </c>
      <c r="I12" s="40" t="n">
        <v>0</v>
      </c>
      <c r="J12" s="40" t="n">
        <v>0</v>
      </c>
      <c r="K12" s="40" t="n">
        <v>0</v>
      </c>
      <c r="L12" s="40" t="n">
        <v>0</v>
      </c>
      <c r="M12" s="40" t="n">
        <v>0</v>
      </c>
      <c r="N12" s="40" t="n">
        <v>0</v>
      </c>
      <c r="O12" s="40" t="n">
        <v>0</v>
      </c>
      <c r="P12" s="40" t="n">
        <v>0</v>
      </c>
      <c r="Q12" s="40" t="n">
        <v>0</v>
      </c>
      <c r="R12" s="40" t="n">
        <v>0</v>
      </c>
      <c r="S12" s="40" t="n">
        <v>0</v>
      </c>
      <c r="T12" s="40" t="n">
        <v>0</v>
      </c>
      <c r="U12" s="40" t="n">
        <v>0</v>
      </c>
      <c r="V12" s="40" t="n">
        <v>0</v>
      </c>
      <c r="W12" s="40" t="n">
        <v>0</v>
      </c>
      <c r="X12" s="40" t="n">
        <v>0</v>
      </c>
      <c r="Y12" s="40" t="n">
        <v>0</v>
      </c>
      <c r="Z12" s="40" t="n">
        <v>0</v>
      </c>
      <c r="AA12" s="40" t="n">
        <v>0</v>
      </c>
      <c r="AB12" s="40" t="n">
        <v>0</v>
      </c>
      <c r="AC12" s="40" t="n">
        <v>0</v>
      </c>
      <c r="AD12" s="40" t="n">
        <v>0</v>
      </c>
      <c r="AE12" s="40" t="n">
        <v>0</v>
      </c>
      <c r="AF12" s="40" t="n">
        <v>0</v>
      </c>
      <c r="AG12" s="40" t="n">
        <v>0</v>
      </c>
      <c r="AH12" s="40" t="n">
        <v>0</v>
      </c>
      <c r="AI12" s="40" t="n">
        <v>0</v>
      </c>
      <c r="AJ12" s="40" t="n">
        <v>0</v>
      </c>
      <c r="AK12" s="40" t="n">
        <v>0</v>
      </c>
      <c r="AL12" s="40" t="n">
        <v>0</v>
      </c>
      <c r="AM12" s="40" t="n">
        <v>0</v>
      </c>
      <c r="AN12" s="40" t="n">
        <v>0</v>
      </c>
      <c r="AO12" s="40" t="n">
        <v>0</v>
      </c>
      <c r="AP12" s="40" t="n">
        <v>0</v>
      </c>
      <c r="AQ12" s="40" t="n">
        <v>0</v>
      </c>
      <c r="AR12" s="40" t="n">
        <v>0</v>
      </c>
      <c r="AS12" s="40" t="n">
        <v>0</v>
      </c>
      <c r="AT12" s="40" t="n">
        <v>0</v>
      </c>
      <c r="AU12" s="40" t="n">
        <v>0</v>
      </c>
      <c r="AV12" s="40" t="n">
        <v>0</v>
      </c>
      <c r="AW12" s="40" t="n">
        <v>0</v>
      </c>
      <c r="AX12" s="40" t="n">
        <v>0</v>
      </c>
      <c r="AY12" s="40" t="n">
        <v>0</v>
      </c>
      <c r="AZ12" s="40" t="n">
        <v>0</v>
      </c>
    </row>
    <row r="13" customFormat="false" ht="15" hidden="false" customHeight="true" outlineLevel="0" collapsed="false">
      <c r="A13" s="13" t="s">
        <v>74</v>
      </c>
      <c r="C13" s="41" t="n">
        <f aca="false">SUM(D13:AZ13)</f>
        <v>1.50210764478909</v>
      </c>
      <c r="D13" s="40" t="n">
        <v>0</v>
      </c>
      <c r="E13" s="40" t="n">
        <f aca="false">SUM(Inputs!$B$33:$D$33)*(Inputs!$B$194/(Inputs!$B$194+Inputs!$B$195+Inputs!$B$196))*Inputs!$B$201*Inputs!$B$5*Inputs!$B$200</f>
        <v>0.300421528957819</v>
      </c>
      <c r="F13" s="40" t="n">
        <f aca="false">SUM(Inputs!$B$33:$D$33)*(Inputs!$B$194/(Inputs!$B$194+Inputs!$B$195+Inputs!$B$196))*Inputs!$B$202*Inputs!$B$5*Inputs!$B$200</f>
        <v>0.826159204634002</v>
      </c>
      <c r="G13" s="40" t="n">
        <f aca="false">SUM(Inputs!$B$33:$D$33)*(Inputs!$B$194/(Inputs!$B$194+Inputs!$B$195+Inputs!$B$196))*Inputs!$B$203*Inputs!$B$5*Inputs!$B$200</f>
        <v>0.375526911197274</v>
      </c>
      <c r="H13" s="40" t="n">
        <v>0</v>
      </c>
      <c r="I13" s="40" t="n">
        <v>0</v>
      </c>
      <c r="J13" s="40" t="n">
        <v>0</v>
      </c>
      <c r="K13" s="40" t="n">
        <v>0</v>
      </c>
      <c r="L13" s="40" t="n">
        <v>0</v>
      </c>
      <c r="M13" s="40" t="n">
        <v>0</v>
      </c>
      <c r="N13" s="40" t="n">
        <v>0</v>
      </c>
      <c r="O13" s="40" t="n">
        <v>0</v>
      </c>
      <c r="P13" s="40" t="n">
        <v>0</v>
      </c>
      <c r="Q13" s="40" t="n">
        <v>0</v>
      </c>
      <c r="R13" s="40" t="n">
        <v>0</v>
      </c>
      <c r="S13" s="40" t="n">
        <v>0</v>
      </c>
      <c r="T13" s="40" t="n">
        <v>0</v>
      </c>
      <c r="U13" s="40" t="n">
        <v>0</v>
      </c>
      <c r="V13" s="40" t="n">
        <v>0</v>
      </c>
      <c r="W13" s="40" t="n">
        <v>0</v>
      </c>
      <c r="X13" s="40" t="n">
        <v>0</v>
      </c>
      <c r="Y13" s="40" t="n">
        <v>0</v>
      </c>
      <c r="Z13" s="40" t="n">
        <v>0</v>
      </c>
      <c r="AA13" s="40" t="n">
        <v>0</v>
      </c>
      <c r="AB13" s="40" t="n">
        <v>0</v>
      </c>
      <c r="AC13" s="40" t="n">
        <v>0</v>
      </c>
      <c r="AD13" s="40" t="n">
        <v>0</v>
      </c>
      <c r="AE13" s="40" t="n">
        <v>0</v>
      </c>
      <c r="AF13" s="40" t="n">
        <v>0</v>
      </c>
      <c r="AG13" s="40" t="n">
        <v>0</v>
      </c>
      <c r="AH13" s="40" t="n">
        <v>0</v>
      </c>
      <c r="AI13" s="40" t="n">
        <v>0</v>
      </c>
      <c r="AJ13" s="40" t="n">
        <v>0</v>
      </c>
      <c r="AK13" s="40" t="n">
        <v>0</v>
      </c>
      <c r="AL13" s="40" t="n">
        <v>0</v>
      </c>
      <c r="AM13" s="40" t="n">
        <v>0</v>
      </c>
      <c r="AN13" s="40" t="n">
        <v>0</v>
      </c>
      <c r="AO13" s="40" t="n">
        <v>0</v>
      </c>
      <c r="AP13" s="40" t="n">
        <v>0</v>
      </c>
      <c r="AQ13" s="40" t="n">
        <v>0</v>
      </c>
      <c r="AR13" s="40" t="n">
        <v>0</v>
      </c>
      <c r="AS13" s="40" t="n">
        <v>0</v>
      </c>
      <c r="AT13" s="40" t="n">
        <v>0</v>
      </c>
      <c r="AU13" s="40" t="n">
        <v>0</v>
      </c>
      <c r="AV13" s="40" t="n">
        <v>0</v>
      </c>
      <c r="AW13" s="40" t="n">
        <v>0</v>
      </c>
      <c r="AX13" s="40" t="n">
        <v>0</v>
      </c>
      <c r="AY13" s="40" t="n">
        <v>0</v>
      </c>
      <c r="AZ13" s="40" t="n">
        <v>0</v>
      </c>
    </row>
    <row r="14" customFormat="false" ht="15" hidden="false" customHeight="true" outlineLevel="0" collapsed="false">
      <c r="A14" s="13" t="s">
        <v>75</v>
      </c>
      <c r="C14" s="41" t="n">
        <f aca="false">SUM(D14:AZ14)</f>
        <v>5.63290366795911</v>
      </c>
      <c r="D14" s="40" t="n">
        <v>0</v>
      </c>
      <c r="E14" s="40" t="n">
        <f aca="false">SUM(Inputs!$B$34:$D$34)*(Inputs!$B$194/(Inputs!$B$194+Inputs!$B$195+Inputs!$B$196))*Inputs!$B$201*Inputs!$B$5*Inputs!$B$200</f>
        <v>1.12658073359182</v>
      </c>
      <c r="F14" s="40" t="n">
        <f aca="false">SUM(Inputs!$B$34:$D$34)*(Inputs!$B$194/(Inputs!$B$194+Inputs!$B$195+Inputs!$B$196))*Inputs!$B$202*Inputs!$B$5*Inputs!$B$200</f>
        <v>3.09809701737751</v>
      </c>
      <c r="G14" s="40" t="n">
        <f aca="false">SUM(Inputs!$B$34:$D$34)*(Inputs!$B$194/(Inputs!$B$194+Inputs!$B$195+Inputs!$B$196))*Inputs!$B$203*Inputs!$B$5*Inputs!$B$200</f>
        <v>1.40822591698978</v>
      </c>
      <c r="H14" s="40" t="n">
        <v>0</v>
      </c>
      <c r="I14" s="40" t="n">
        <v>0</v>
      </c>
      <c r="J14" s="40" t="n">
        <v>0</v>
      </c>
      <c r="K14" s="40" t="n">
        <v>0</v>
      </c>
      <c r="L14" s="40" t="n">
        <v>0</v>
      </c>
      <c r="M14" s="40" t="n">
        <v>0</v>
      </c>
      <c r="N14" s="40" t="n">
        <v>0</v>
      </c>
      <c r="O14" s="40" t="n">
        <v>0</v>
      </c>
      <c r="P14" s="40" t="n">
        <v>0</v>
      </c>
      <c r="Q14" s="40" t="n">
        <v>0</v>
      </c>
      <c r="R14" s="40" t="n">
        <v>0</v>
      </c>
      <c r="S14" s="40" t="n">
        <v>0</v>
      </c>
      <c r="T14" s="40" t="n">
        <v>0</v>
      </c>
      <c r="U14" s="40" t="n">
        <v>0</v>
      </c>
      <c r="V14" s="40" t="n">
        <v>0</v>
      </c>
      <c r="W14" s="40" t="n">
        <v>0</v>
      </c>
      <c r="X14" s="40" t="n">
        <v>0</v>
      </c>
      <c r="Y14" s="40" t="n">
        <v>0</v>
      </c>
      <c r="Z14" s="40" t="n">
        <v>0</v>
      </c>
      <c r="AA14" s="40" t="n">
        <v>0</v>
      </c>
      <c r="AB14" s="40" t="n">
        <v>0</v>
      </c>
      <c r="AC14" s="40" t="n">
        <v>0</v>
      </c>
      <c r="AD14" s="40" t="n">
        <v>0</v>
      </c>
      <c r="AE14" s="40" t="n">
        <v>0</v>
      </c>
      <c r="AF14" s="40" t="n">
        <v>0</v>
      </c>
      <c r="AG14" s="40" t="n">
        <v>0</v>
      </c>
      <c r="AH14" s="40" t="n">
        <v>0</v>
      </c>
      <c r="AI14" s="40" t="n">
        <v>0</v>
      </c>
      <c r="AJ14" s="40" t="n">
        <v>0</v>
      </c>
      <c r="AK14" s="40" t="n">
        <v>0</v>
      </c>
      <c r="AL14" s="40" t="n">
        <v>0</v>
      </c>
      <c r="AM14" s="40" t="n">
        <v>0</v>
      </c>
      <c r="AN14" s="40" t="n">
        <v>0</v>
      </c>
      <c r="AO14" s="40" t="n">
        <v>0</v>
      </c>
      <c r="AP14" s="40" t="n">
        <v>0</v>
      </c>
      <c r="AQ14" s="40" t="n">
        <v>0</v>
      </c>
      <c r="AR14" s="40" t="n">
        <v>0</v>
      </c>
      <c r="AS14" s="40" t="n">
        <v>0</v>
      </c>
      <c r="AT14" s="40" t="n">
        <v>0</v>
      </c>
      <c r="AU14" s="40" t="n">
        <v>0</v>
      </c>
      <c r="AV14" s="40" t="n">
        <v>0</v>
      </c>
      <c r="AW14" s="40" t="n">
        <v>0</v>
      </c>
      <c r="AX14" s="40" t="n">
        <v>0</v>
      </c>
      <c r="AY14" s="40" t="n">
        <v>0</v>
      </c>
      <c r="AZ14" s="40" t="n">
        <v>0</v>
      </c>
    </row>
    <row r="15" customFormat="false" ht="15" hidden="false" customHeight="true" outlineLevel="0" collapsed="false">
      <c r="A15" s="13" t="s">
        <v>76</v>
      </c>
      <c r="C15" s="41" t="n">
        <f aca="false">SUM(D15:AZ15)</f>
        <v>3.00421528957819</v>
      </c>
      <c r="D15" s="40" t="n">
        <v>0</v>
      </c>
      <c r="E15" s="40" t="n">
        <f aca="false">SUM(Inputs!$B$35:$D$35)*(Inputs!$B$194/(Inputs!$B$194+Inputs!$B$195+Inputs!$B$196))*Inputs!$B$201*Inputs!$B$5*Inputs!$B$200</f>
        <v>0.600843057915638</v>
      </c>
      <c r="F15" s="40" t="n">
        <f aca="false">SUM(Inputs!$B$35:$D$35)*(Inputs!$B$194/(Inputs!$B$194+Inputs!$B$195+Inputs!$B$196))*Inputs!$B$202*Inputs!$B$5*Inputs!$B$200</f>
        <v>1.652318409268</v>
      </c>
      <c r="G15" s="40" t="n">
        <f aca="false">SUM(Inputs!$B$35:$D$35)*(Inputs!$B$194/(Inputs!$B$194+Inputs!$B$195+Inputs!$B$196))*Inputs!$B$203*Inputs!$B$5*Inputs!$B$200</f>
        <v>0.751053822394547</v>
      </c>
      <c r="H15" s="40" t="n">
        <v>0</v>
      </c>
      <c r="I15" s="40" t="n">
        <v>0</v>
      </c>
      <c r="J15" s="40" t="n">
        <v>0</v>
      </c>
      <c r="K15" s="40" t="n">
        <v>0</v>
      </c>
      <c r="L15" s="40" t="n">
        <v>0</v>
      </c>
      <c r="M15" s="40" t="n">
        <v>0</v>
      </c>
      <c r="N15" s="40" t="n">
        <v>0</v>
      </c>
      <c r="O15" s="40" t="n">
        <v>0</v>
      </c>
      <c r="P15" s="40" t="n">
        <v>0</v>
      </c>
      <c r="Q15" s="40" t="n">
        <v>0</v>
      </c>
      <c r="R15" s="40" t="n">
        <v>0</v>
      </c>
      <c r="S15" s="40" t="n">
        <v>0</v>
      </c>
      <c r="T15" s="40" t="n">
        <v>0</v>
      </c>
      <c r="U15" s="40" t="n">
        <v>0</v>
      </c>
      <c r="V15" s="40" t="n">
        <v>0</v>
      </c>
      <c r="W15" s="40" t="n">
        <v>0</v>
      </c>
      <c r="X15" s="40" t="n">
        <v>0</v>
      </c>
      <c r="Y15" s="40" t="n">
        <v>0</v>
      </c>
      <c r="Z15" s="40" t="n">
        <v>0</v>
      </c>
      <c r="AA15" s="40" t="n">
        <v>0</v>
      </c>
      <c r="AB15" s="40" t="n">
        <v>0</v>
      </c>
      <c r="AC15" s="40" t="n">
        <v>0</v>
      </c>
      <c r="AD15" s="40" t="n">
        <v>0</v>
      </c>
      <c r="AE15" s="40" t="n">
        <v>0</v>
      </c>
      <c r="AF15" s="40" t="n">
        <v>0</v>
      </c>
      <c r="AG15" s="40" t="n">
        <v>0</v>
      </c>
      <c r="AH15" s="40" t="n">
        <v>0</v>
      </c>
      <c r="AI15" s="40" t="n">
        <v>0</v>
      </c>
      <c r="AJ15" s="40" t="n">
        <v>0</v>
      </c>
      <c r="AK15" s="40" t="n">
        <v>0</v>
      </c>
      <c r="AL15" s="40" t="n">
        <v>0</v>
      </c>
      <c r="AM15" s="40" t="n">
        <v>0</v>
      </c>
      <c r="AN15" s="40" t="n">
        <v>0</v>
      </c>
      <c r="AO15" s="40" t="n">
        <v>0</v>
      </c>
      <c r="AP15" s="40" t="n">
        <v>0</v>
      </c>
      <c r="AQ15" s="40" t="n">
        <v>0</v>
      </c>
      <c r="AR15" s="40" t="n">
        <v>0</v>
      </c>
      <c r="AS15" s="40" t="n">
        <v>0</v>
      </c>
      <c r="AT15" s="40" t="n">
        <v>0</v>
      </c>
      <c r="AU15" s="40" t="n">
        <v>0</v>
      </c>
      <c r="AV15" s="40" t="n">
        <v>0</v>
      </c>
      <c r="AW15" s="40" t="n">
        <v>0</v>
      </c>
      <c r="AX15" s="40" t="n">
        <v>0</v>
      </c>
      <c r="AY15" s="40" t="n">
        <v>0</v>
      </c>
      <c r="AZ15" s="40" t="n">
        <v>0</v>
      </c>
    </row>
    <row r="16" customFormat="false" ht="15" hidden="false" customHeight="true" outlineLevel="0" collapsed="false">
      <c r="A16" s="13" t="s">
        <v>77</v>
      </c>
      <c r="C16" s="41" t="n">
        <f aca="false">SUM(D16:AZ16)</f>
        <v>1.87763455598637</v>
      </c>
      <c r="D16" s="40" t="n">
        <v>0</v>
      </c>
      <c r="E16" s="40" t="n">
        <f aca="false">SUM(Inputs!$B$36:$D$36)*(Inputs!$B$194/(Inputs!$B$194+Inputs!$B$195+Inputs!$B$196))*Inputs!$B$201*Inputs!$B$5*Inputs!$B$200</f>
        <v>0.375526911197274</v>
      </c>
      <c r="F16" s="40" t="n">
        <f aca="false">SUM(Inputs!$B$36:$D$36)*(Inputs!$B$194/(Inputs!$B$194+Inputs!$B$195+Inputs!$B$196))*Inputs!$B$202*Inputs!$B$5*Inputs!$B$200</f>
        <v>1.0326990057925</v>
      </c>
      <c r="G16" s="40" t="n">
        <f aca="false">SUM(Inputs!$B$36:$D$36)*(Inputs!$B$194/(Inputs!$B$194+Inputs!$B$195+Inputs!$B$196))*Inputs!$B$203*Inputs!$B$5*Inputs!$B$200</f>
        <v>0.469408638996592</v>
      </c>
      <c r="H16" s="40" t="n">
        <v>0</v>
      </c>
      <c r="I16" s="40" t="n">
        <v>0</v>
      </c>
      <c r="J16" s="40" t="n">
        <v>0</v>
      </c>
      <c r="K16" s="40" t="n">
        <v>0</v>
      </c>
      <c r="L16" s="40" t="n">
        <v>0</v>
      </c>
      <c r="M16" s="40" t="n">
        <v>0</v>
      </c>
      <c r="N16" s="40" t="n">
        <v>0</v>
      </c>
      <c r="O16" s="40" t="n">
        <v>0</v>
      </c>
      <c r="P16" s="40" t="n">
        <v>0</v>
      </c>
      <c r="Q16" s="40" t="n">
        <v>0</v>
      </c>
      <c r="R16" s="40" t="n">
        <v>0</v>
      </c>
      <c r="S16" s="40" t="n">
        <v>0</v>
      </c>
      <c r="T16" s="40" t="n">
        <v>0</v>
      </c>
      <c r="U16" s="40" t="n">
        <v>0</v>
      </c>
      <c r="V16" s="40" t="n">
        <v>0</v>
      </c>
      <c r="W16" s="40" t="n">
        <v>0</v>
      </c>
      <c r="X16" s="40" t="n">
        <v>0</v>
      </c>
      <c r="Y16" s="40" t="n">
        <v>0</v>
      </c>
      <c r="Z16" s="40" t="n">
        <v>0</v>
      </c>
      <c r="AA16" s="40" t="n">
        <v>0</v>
      </c>
      <c r="AB16" s="40" t="n">
        <v>0</v>
      </c>
      <c r="AC16" s="40" t="n">
        <v>0</v>
      </c>
      <c r="AD16" s="40" t="n">
        <v>0</v>
      </c>
      <c r="AE16" s="40" t="n">
        <v>0</v>
      </c>
      <c r="AF16" s="40" t="n">
        <v>0</v>
      </c>
      <c r="AG16" s="40" t="n">
        <v>0</v>
      </c>
      <c r="AH16" s="40" t="n">
        <v>0</v>
      </c>
      <c r="AI16" s="40" t="n">
        <v>0</v>
      </c>
      <c r="AJ16" s="40" t="n">
        <v>0</v>
      </c>
      <c r="AK16" s="40" t="n">
        <v>0</v>
      </c>
      <c r="AL16" s="40" t="n">
        <v>0</v>
      </c>
      <c r="AM16" s="40" t="n">
        <v>0</v>
      </c>
      <c r="AN16" s="40" t="n">
        <v>0</v>
      </c>
      <c r="AO16" s="40" t="n">
        <v>0</v>
      </c>
      <c r="AP16" s="40" t="n">
        <v>0</v>
      </c>
      <c r="AQ16" s="40" t="n">
        <v>0</v>
      </c>
      <c r="AR16" s="40" t="n">
        <v>0</v>
      </c>
      <c r="AS16" s="40" t="n">
        <v>0</v>
      </c>
      <c r="AT16" s="40" t="n">
        <v>0</v>
      </c>
      <c r="AU16" s="40" t="n">
        <v>0</v>
      </c>
      <c r="AV16" s="40" t="n">
        <v>0</v>
      </c>
      <c r="AW16" s="40" t="n">
        <v>0</v>
      </c>
      <c r="AX16" s="40" t="n">
        <v>0</v>
      </c>
      <c r="AY16" s="40" t="n">
        <v>0</v>
      </c>
      <c r="AZ16" s="40" t="n">
        <v>0</v>
      </c>
    </row>
    <row r="17" customFormat="false" ht="15" hidden="false" customHeight="true" outlineLevel="0" collapsed="false">
      <c r="A17" s="13" t="s">
        <v>78</v>
      </c>
      <c r="C17" s="41" t="n">
        <f aca="false">SUM(D17:AZ17)</f>
        <v>2.62868837838092</v>
      </c>
      <c r="D17" s="40" t="n">
        <v>0</v>
      </c>
      <c r="E17" s="40" t="n">
        <f aca="false">SUM(Inputs!$B$37:$D$37)*(Inputs!$B$194/(Inputs!$B$194+Inputs!$B$195+Inputs!$B$196))*Inputs!$B$201*Inputs!$B$5*Inputs!$B$200</f>
        <v>0.525737675676183</v>
      </c>
      <c r="F17" s="40" t="n">
        <f aca="false">SUM(Inputs!$B$37:$D$37)*(Inputs!$B$194/(Inputs!$B$194+Inputs!$B$195+Inputs!$B$196))*Inputs!$B$202*Inputs!$B$5*Inputs!$B$200</f>
        <v>1.4457786081095</v>
      </c>
      <c r="G17" s="40" t="n">
        <f aca="false">SUM(Inputs!$B$37:$D$37)*(Inputs!$B$194/(Inputs!$B$194+Inputs!$B$195+Inputs!$B$196))*Inputs!$B$203*Inputs!$B$5*Inputs!$B$200</f>
        <v>0.657172094595229</v>
      </c>
      <c r="H17" s="40" t="n">
        <v>0</v>
      </c>
      <c r="I17" s="40" t="n">
        <v>0</v>
      </c>
      <c r="J17" s="40" t="n">
        <v>0</v>
      </c>
      <c r="K17" s="40" t="n">
        <v>0</v>
      </c>
      <c r="L17" s="40" t="n">
        <v>0</v>
      </c>
      <c r="M17" s="40" t="n">
        <v>0</v>
      </c>
      <c r="N17" s="40" t="n">
        <v>0</v>
      </c>
      <c r="O17" s="40" t="n">
        <v>0</v>
      </c>
      <c r="P17" s="40" t="n">
        <v>0</v>
      </c>
      <c r="Q17" s="40" t="n">
        <v>0</v>
      </c>
      <c r="R17" s="40" t="n">
        <v>0</v>
      </c>
      <c r="S17" s="40" t="n">
        <v>0</v>
      </c>
      <c r="T17" s="40" t="n">
        <v>0</v>
      </c>
      <c r="U17" s="40" t="n">
        <v>0</v>
      </c>
      <c r="V17" s="40" t="n">
        <v>0</v>
      </c>
      <c r="W17" s="40" t="n">
        <v>0</v>
      </c>
      <c r="X17" s="40" t="n">
        <v>0</v>
      </c>
      <c r="Y17" s="40" t="n">
        <v>0</v>
      </c>
      <c r="Z17" s="40" t="n">
        <v>0</v>
      </c>
      <c r="AA17" s="40" t="n">
        <v>0</v>
      </c>
      <c r="AB17" s="40" t="n">
        <v>0</v>
      </c>
      <c r="AC17" s="40" t="n">
        <v>0</v>
      </c>
      <c r="AD17" s="40" t="n">
        <v>0</v>
      </c>
      <c r="AE17" s="40" t="n">
        <v>0</v>
      </c>
      <c r="AF17" s="40" t="n">
        <v>0</v>
      </c>
      <c r="AG17" s="40" t="n">
        <v>0</v>
      </c>
      <c r="AH17" s="40" t="n">
        <v>0</v>
      </c>
      <c r="AI17" s="40" t="n">
        <v>0</v>
      </c>
      <c r="AJ17" s="40" t="n">
        <v>0</v>
      </c>
      <c r="AK17" s="40" t="n">
        <v>0</v>
      </c>
      <c r="AL17" s="40" t="n">
        <v>0</v>
      </c>
      <c r="AM17" s="40" t="n">
        <v>0</v>
      </c>
      <c r="AN17" s="40" t="n">
        <v>0</v>
      </c>
      <c r="AO17" s="40" t="n">
        <v>0</v>
      </c>
      <c r="AP17" s="40" t="n">
        <v>0</v>
      </c>
      <c r="AQ17" s="40" t="n">
        <v>0</v>
      </c>
      <c r="AR17" s="40" t="n">
        <v>0</v>
      </c>
      <c r="AS17" s="40" t="n">
        <v>0</v>
      </c>
      <c r="AT17" s="40" t="n">
        <v>0</v>
      </c>
      <c r="AU17" s="40" t="n">
        <v>0</v>
      </c>
      <c r="AV17" s="40" t="n">
        <v>0</v>
      </c>
      <c r="AW17" s="40" t="n">
        <v>0</v>
      </c>
      <c r="AX17" s="40" t="n">
        <v>0</v>
      </c>
      <c r="AY17" s="40" t="n">
        <v>0</v>
      </c>
      <c r="AZ17" s="40" t="n">
        <v>0</v>
      </c>
    </row>
    <row r="18" customFormat="false" ht="15" hidden="false" customHeight="true" outlineLevel="0" collapsed="false">
      <c r="A18" s="13" t="s">
        <v>79</v>
      </c>
      <c r="C18" s="41" t="n">
        <f aca="false">SUM(D18:AZ18)</f>
        <v>1.87763455598637</v>
      </c>
      <c r="D18" s="40" t="n">
        <v>0</v>
      </c>
      <c r="E18" s="40" t="n">
        <f aca="false">SUM(Inputs!$B$38:$D$38)*(Inputs!$B$194/(Inputs!$B$194+Inputs!$B$195+Inputs!$B$196))*Inputs!$B$201*Inputs!$B$5*Inputs!$B$200</f>
        <v>0.375526911197274</v>
      </c>
      <c r="F18" s="40" t="n">
        <f aca="false">SUM(Inputs!$B$38:$D$38)*(Inputs!$B$194/(Inputs!$B$194+Inputs!$B$195+Inputs!$B$196))*Inputs!$B$202*Inputs!$B$5*Inputs!$B$200</f>
        <v>1.0326990057925</v>
      </c>
      <c r="G18" s="40" t="n">
        <f aca="false">SUM(Inputs!$B$38:$D$38)*(Inputs!$B$194/(Inputs!$B$194+Inputs!$B$195+Inputs!$B$196))*Inputs!$B$203*Inputs!$B$5*Inputs!$B$200</f>
        <v>0.469408638996592</v>
      </c>
      <c r="H18" s="40" t="n">
        <v>0</v>
      </c>
      <c r="I18" s="40" t="n">
        <v>0</v>
      </c>
      <c r="J18" s="40" t="n">
        <v>0</v>
      </c>
      <c r="K18" s="40" t="n">
        <v>0</v>
      </c>
      <c r="L18" s="40" t="n">
        <v>0</v>
      </c>
      <c r="M18" s="40" t="n">
        <v>0</v>
      </c>
      <c r="N18" s="40" t="n">
        <v>0</v>
      </c>
      <c r="O18" s="40" t="n">
        <v>0</v>
      </c>
      <c r="P18" s="40" t="n">
        <v>0</v>
      </c>
      <c r="Q18" s="40" t="n">
        <v>0</v>
      </c>
      <c r="R18" s="40" t="n">
        <v>0</v>
      </c>
      <c r="S18" s="40" t="n">
        <v>0</v>
      </c>
      <c r="T18" s="40" t="n">
        <v>0</v>
      </c>
      <c r="U18" s="40" t="n">
        <v>0</v>
      </c>
      <c r="V18" s="40" t="n">
        <v>0</v>
      </c>
      <c r="W18" s="40" t="n">
        <v>0</v>
      </c>
      <c r="X18" s="40" t="n">
        <v>0</v>
      </c>
      <c r="Y18" s="40" t="n">
        <v>0</v>
      </c>
      <c r="Z18" s="40" t="n">
        <v>0</v>
      </c>
      <c r="AA18" s="40" t="n">
        <v>0</v>
      </c>
      <c r="AB18" s="40" t="n">
        <v>0</v>
      </c>
      <c r="AC18" s="40" t="n">
        <v>0</v>
      </c>
      <c r="AD18" s="40" t="n">
        <v>0</v>
      </c>
      <c r="AE18" s="40" t="n">
        <v>0</v>
      </c>
      <c r="AF18" s="40" t="n">
        <v>0</v>
      </c>
      <c r="AG18" s="40" t="n">
        <v>0</v>
      </c>
      <c r="AH18" s="40" t="n">
        <v>0</v>
      </c>
      <c r="AI18" s="40" t="n">
        <v>0</v>
      </c>
      <c r="AJ18" s="40" t="n">
        <v>0</v>
      </c>
      <c r="AK18" s="40" t="n">
        <v>0</v>
      </c>
      <c r="AL18" s="40" t="n">
        <v>0</v>
      </c>
      <c r="AM18" s="40" t="n">
        <v>0</v>
      </c>
      <c r="AN18" s="40" t="n">
        <v>0</v>
      </c>
      <c r="AO18" s="40" t="n">
        <v>0</v>
      </c>
      <c r="AP18" s="40" t="n">
        <v>0</v>
      </c>
      <c r="AQ18" s="40" t="n">
        <v>0</v>
      </c>
      <c r="AR18" s="40" t="n">
        <v>0</v>
      </c>
      <c r="AS18" s="40" t="n">
        <v>0</v>
      </c>
      <c r="AT18" s="40" t="n">
        <v>0</v>
      </c>
      <c r="AU18" s="40" t="n">
        <v>0</v>
      </c>
      <c r="AV18" s="40" t="n">
        <v>0</v>
      </c>
      <c r="AW18" s="40" t="n">
        <v>0</v>
      </c>
      <c r="AX18" s="40" t="n">
        <v>0</v>
      </c>
      <c r="AY18" s="40" t="n">
        <v>0</v>
      </c>
      <c r="AZ18" s="40" t="n">
        <v>0</v>
      </c>
    </row>
    <row r="19" customFormat="false" ht="15" hidden="false" customHeight="true" outlineLevel="0" collapsed="false">
      <c r="A19" s="6" t="s">
        <v>588</v>
      </c>
      <c r="C19" s="44" t="n">
        <f aca="false">SUM(D19:AZ19)</f>
        <v>185.248317170029</v>
      </c>
      <c r="D19" s="44" t="n">
        <f aca="false">SUM(D6:D13)</f>
        <v>0</v>
      </c>
      <c r="E19" s="44" t="n">
        <f aca="false">SUM(E6:E13)</f>
        <v>37.0496634340058</v>
      </c>
      <c r="F19" s="44" t="n">
        <f aca="false">SUM(F6:F13)</f>
        <v>101.886574443516</v>
      </c>
      <c r="G19" s="44" t="n">
        <f aca="false">SUM(G6:G13)</f>
        <v>46.3120792925073</v>
      </c>
      <c r="H19" s="44" t="n">
        <f aca="false">SUM(H6:H13)</f>
        <v>0</v>
      </c>
      <c r="I19" s="44" t="n">
        <f aca="false">SUM(I6:I13)</f>
        <v>0</v>
      </c>
      <c r="J19" s="44" t="n">
        <f aca="false">SUM(J6:J13)</f>
        <v>0</v>
      </c>
      <c r="K19" s="44" t="n">
        <f aca="false">SUM(K6:K13)</f>
        <v>0</v>
      </c>
      <c r="L19" s="44" t="n">
        <f aca="false">SUM(L6:L13)</f>
        <v>0</v>
      </c>
      <c r="M19" s="44" t="n">
        <f aca="false">SUM(M6:M13)</f>
        <v>0</v>
      </c>
      <c r="N19" s="44" t="n">
        <f aca="false">SUM(N6:N13)</f>
        <v>0</v>
      </c>
      <c r="O19" s="44" t="n">
        <f aca="false">SUM(O6:O13)</f>
        <v>0</v>
      </c>
      <c r="P19" s="44" t="n">
        <f aca="false">SUM(P6:P13)</f>
        <v>0</v>
      </c>
      <c r="Q19" s="44" t="n">
        <f aca="false">SUM(Q6:Q13)</f>
        <v>0</v>
      </c>
      <c r="R19" s="44" t="n">
        <f aca="false">SUM(R6:R13)</f>
        <v>0</v>
      </c>
      <c r="S19" s="44" t="n">
        <f aca="false">SUM(S6:S13)</f>
        <v>0</v>
      </c>
      <c r="T19" s="44" t="n">
        <f aca="false">SUM(T6:T13)</f>
        <v>0</v>
      </c>
      <c r="U19" s="44" t="n">
        <f aca="false">SUM(U6:U13)</f>
        <v>0</v>
      </c>
      <c r="V19" s="44" t="n">
        <f aca="false">SUM(V6:V13)</f>
        <v>0</v>
      </c>
      <c r="W19" s="44" t="n">
        <f aca="false">SUM(W6:W13)</f>
        <v>0</v>
      </c>
      <c r="X19" s="44" t="n">
        <f aca="false">SUM(X6:X13)</f>
        <v>0</v>
      </c>
      <c r="Y19" s="44" t="n">
        <f aca="false">SUM(Y6:Y13)</f>
        <v>0</v>
      </c>
      <c r="Z19" s="44" t="n">
        <f aca="false">SUM(Z6:Z13)</f>
        <v>0</v>
      </c>
      <c r="AA19" s="44" t="n">
        <f aca="false">SUM(AA6:AA13)</f>
        <v>0</v>
      </c>
      <c r="AB19" s="44" t="n">
        <f aca="false">SUM(AB6:AB13)</f>
        <v>0</v>
      </c>
      <c r="AC19" s="44" t="n">
        <f aca="false">SUM(AC6:AC13)</f>
        <v>0</v>
      </c>
      <c r="AD19" s="44" t="n">
        <f aca="false">SUM(AD6:AD13)</f>
        <v>0</v>
      </c>
      <c r="AE19" s="44" t="n">
        <f aca="false">SUM(AE6:AE13)</f>
        <v>0</v>
      </c>
      <c r="AF19" s="44" t="n">
        <f aca="false">SUM(AF6:AF13)</f>
        <v>0</v>
      </c>
      <c r="AG19" s="44" t="n">
        <f aca="false">SUM(AG6:AG13)</f>
        <v>0</v>
      </c>
      <c r="AH19" s="44" t="n">
        <f aca="false">SUM(AH6:AH13)</f>
        <v>0</v>
      </c>
      <c r="AI19" s="44" t="n">
        <f aca="false">SUM(AI6:AI13)</f>
        <v>0</v>
      </c>
      <c r="AJ19" s="44" t="n">
        <f aca="false">SUM(AJ6:AJ13)</f>
        <v>0</v>
      </c>
      <c r="AK19" s="44" t="n">
        <f aca="false">SUM(AK6:AK13)</f>
        <v>0</v>
      </c>
      <c r="AL19" s="44" t="n">
        <f aca="false">SUM(AL6:AL13)</f>
        <v>0</v>
      </c>
      <c r="AM19" s="44" t="n">
        <f aca="false">SUM(AM6:AM13)</f>
        <v>0</v>
      </c>
      <c r="AN19" s="44" t="n">
        <f aca="false">SUM(AN6:AN13)</f>
        <v>0</v>
      </c>
      <c r="AO19" s="44" t="n">
        <f aca="false">SUM(AO6:AO13)</f>
        <v>0</v>
      </c>
      <c r="AP19" s="44" t="n">
        <f aca="false">SUM(AP6:AP13)</f>
        <v>0</v>
      </c>
      <c r="AQ19" s="44" t="n">
        <f aca="false">SUM(AQ6:AQ13)</f>
        <v>0</v>
      </c>
      <c r="AR19" s="44" t="n">
        <f aca="false">SUM(AR6:AR13)</f>
        <v>0</v>
      </c>
      <c r="AS19" s="44" t="n">
        <f aca="false">SUM(AS6:AS13)</f>
        <v>0</v>
      </c>
      <c r="AT19" s="44" t="n">
        <f aca="false">SUM(AT6:AT13)</f>
        <v>0</v>
      </c>
      <c r="AU19" s="44" t="n">
        <f aca="false">SUM(AU6:AU13)</f>
        <v>0</v>
      </c>
      <c r="AV19" s="44" t="n">
        <f aca="false">SUM(AV6:AV13)</f>
        <v>0</v>
      </c>
      <c r="AW19" s="44" t="n">
        <f aca="false">SUM(AW6:AW13)</f>
        <v>0</v>
      </c>
      <c r="AX19" s="44" t="n">
        <f aca="false">SUM(AX6:AX13)</f>
        <v>0</v>
      </c>
      <c r="AY19" s="44" t="n">
        <f aca="false">SUM(AY6:AY13)</f>
        <v>0</v>
      </c>
      <c r="AZ19" s="44" t="n">
        <f aca="false">SUM(AZ6:AZ13)</f>
        <v>0</v>
      </c>
    </row>
    <row r="20" customFormat="false" ht="15" hidden="false" customHeight="true" outlineLevel="0" collapsed="false">
      <c r="A20" s="6" t="s">
        <v>589</v>
      </c>
      <c r="C20" s="21" t="n">
        <f aca="false">SUM(D20:AZ20)</f>
        <v>15.0210764478909</v>
      </c>
      <c r="D20" s="21" t="n">
        <f aca="false">SUM(D14:D18)</f>
        <v>0</v>
      </c>
      <c r="E20" s="21" t="n">
        <f aca="false">SUM(E14:E18)</f>
        <v>3.00421528957819</v>
      </c>
      <c r="F20" s="21" t="n">
        <f aca="false">SUM(F14:F18)</f>
        <v>8.26159204634002</v>
      </c>
      <c r="G20" s="21" t="n">
        <f aca="false">SUM(G14:G18)</f>
        <v>3.75526911197274</v>
      </c>
      <c r="H20" s="21" t="n">
        <f aca="false">SUM(H14:H18)</f>
        <v>0</v>
      </c>
      <c r="I20" s="21" t="n">
        <f aca="false">SUM(I14:I18)</f>
        <v>0</v>
      </c>
      <c r="J20" s="21" t="n">
        <f aca="false">SUM(J14:J18)</f>
        <v>0</v>
      </c>
      <c r="K20" s="21" t="n">
        <f aca="false">SUM(K14:K18)</f>
        <v>0</v>
      </c>
      <c r="L20" s="21" t="n">
        <f aca="false">SUM(L14:L18)</f>
        <v>0</v>
      </c>
      <c r="M20" s="21" t="n">
        <f aca="false">SUM(M14:M18)</f>
        <v>0</v>
      </c>
      <c r="N20" s="21" t="n">
        <f aca="false">SUM(N14:N18)</f>
        <v>0</v>
      </c>
      <c r="O20" s="21" t="n">
        <f aca="false">SUM(O14:O18)</f>
        <v>0</v>
      </c>
      <c r="P20" s="21" t="n">
        <f aca="false">SUM(P14:P18)</f>
        <v>0</v>
      </c>
      <c r="Q20" s="21" t="n">
        <f aca="false">SUM(Q14:Q18)</f>
        <v>0</v>
      </c>
      <c r="R20" s="21" t="n">
        <f aca="false">SUM(R14:R18)</f>
        <v>0</v>
      </c>
      <c r="S20" s="21" t="n">
        <f aca="false">SUM(S14:S18)</f>
        <v>0</v>
      </c>
      <c r="T20" s="21" t="n">
        <f aca="false">SUM(T14:T18)</f>
        <v>0</v>
      </c>
      <c r="U20" s="21" t="n">
        <f aca="false">SUM(U14:U18)</f>
        <v>0</v>
      </c>
      <c r="V20" s="21" t="n">
        <f aca="false">SUM(V14:V18)</f>
        <v>0</v>
      </c>
      <c r="W20" s="21" t="n">
        <f aca="false">SUM(W14:W18)</f>
        <v>0</v>
      </c>
      <c r="X20" s="21" t="n">
        <f aca="false">SUM(X14:X18)</f>
        <v>0</v>
      </c>
      <c r="Y20" s="21" t="n">
        <f aca="false">SUM(Y14:Y18)</f>
        <v>0</v>
      </c>
      <c r="Z20" s="21" t="n">
        <f aca="false">SUM(Z14:Z18)</f>
        <v>0</v>
      </c>
      <c r="AA20" s="21" t="n">
        <f aca="false">SUM(AA14:AA18)</f>
        <v>0</v>
      </c>
      <c r="AB20" s="21" t="n">
        <f aca="false">SUM(AB14:AB18)</f>
        <v>0</v>
      </c>
      <c r="AC20" s="21" t="n">
        <f aca="false">SUM(AC14:AC18)</f>
        <v>0</v>
      </c>
      <c r="AD20" s="21" t="n">
        <f aca="false">SUM(AD14:AD18)</f>
        <v>0</v>
      </c>
      <c r="AE20" s="21" t="n">
        <f aca="false">SUM(AE14:AE18)</f>
        <v>0</v>
      </c>
      <c r="AF20" s="21" t="n">
        <f aca="false">SUM(AF14:AF18)</f>
        <v>0</v>
      </c>
      <c r="AG20" s="21" t="n">
        <f aca="false">SUM(AG14:AG18)</f>
        <v>0</v>
      </c>
      <c r="AH20" s="21" t="n">
        <f aca="false">SUM(AH14:AH18)</f>
        <v>0</v>
      </c>
      <c r="AI20" s="21" t="n">
        <f aca="false">SUM(AI14:AI18)</f>
        <v>0</v>
      </c>
      <c r="AJ20" s="21" t="n">
        <f aca="false">SUM(AJ14:AJ18)</f>
        <v>0</v>
      </c>
      <c r="AK20" s="21" t="n">
        <f aca="false">SUM(AK14:AK18)</f>
        <v>0</v>
      </c>
      <c r="AL20" s="21" t="n">
        <f aca="false">SUM(AL14:AL18)</f>
        <v>0</v>
      </c>
      <c r="AM20" s="21" t="n">
        <f aca="false">SUM(AM14:AM18)</f>
        <v>0</v>
      </c>
      <c r="AN20" s="21" t="n">
        <f aca="false">SUM(AN14:AN18)</f>
        <v>0</v>
      </c>
      <c r="AO20" s="21" t="n">
        <f aca="false">SUM(AO14:AO18)</f>
        <v>0</v>
      </c>
      <c r="AP20" s="21" t="n">
        <f aca="false">SUM(AP14:AP18)</f>
        <v>0</v>
      </c>
      <c r="AQ20" s="21" t="n">
        <f aca="false">SUM(AQ14:AQ18)</f>
        <v>0</v>
      </c>
      <c r="AR20" s="21" t="n">
        <f aca="false">SUM(AR14:AR18)</f>
        <v>0</v>
      </c>
      <c r="AS20" s="21" t="n">
        <f aca="false">SUM(AS14:AS18)</f>
        <v>0</v>
      </c>
      <c r="AT20" s="21" t="n">
        <f aca="false">SUM(AT14:AT18)</f>
        <v>0</v>
      </c>
      <c r="AU20" s="21" t="n">
        <f aca="false">SUM(AU14:AU18)</f>
        <v>0</v>
      </c>
      <c r="AV20" s="21" t="n">
        <f aca="false">SUM(AV14:AV18)</f>
        <v>0</v>
      </c>
      <c r="AW20" s="21" t="n">
        <f aca="false">SUM(AW14:AW18)</f>
        <v>0</v>
      </c>
      <c r="AX20" s="21" t="n">
        <f aca="false">SUM(AX14:AX18)</f>
        <v>0</v>
      </c>
      <c r="AY20" s="21" t="n">
        <f aca="false">SUM(AY14:AY18)</f>
        <v>0</v>
      </c>
      <c r="AZ20" s="21" t="n">
        <f aca="false">SUM(AZ14:AZ18)</f>
        <v>0</v>
      </c>
    </row>
    <row r="21" customFormat="false" ht="15" hidden="false" customHeight="true" outlineLevel="0" collapsed="false">
      <c r="A21" s="6" t="s">
        <v>590</v>
      </c>
      <c r="C21" s="21" t="n">
        <f aca="false">SUM(D21:AZ21)</f>
        <v>15</v>
      </c>
      <c r="D21" s="40" t="n">
        <f aca="false">IF(2026=Inputs!$B$53-1,Inputs!$B$48*Inputs!$B$49,IF(2026=Inputs!$B$53,Inputs!$B$48*(1-Inputs!$B$49),0))*Inputs!$B$200</f>
        <v>0</v>
      </c>
      <c r="E21" s="40" t="n">
        <f aca="false">IF(2027=Inputs!$B$53-1,Inputs!$B$48*Inputs!$B$49,IF(2027=Inputs!$B$53,Inputs!$B$48*(1-Inputs!$B$49),0))*Inputs!$B$200</f>
        <v>0</v>
      </c>
      <c r="F21" s="40" t="n">
        <f aca="false">IF(2028=Inputs!$B$53-1,Inputs!$B$48*Inputs!$B$49,IF(2028=Inputs!$B$53,Inputs!$B$48*(1-Inputs!$B$49),0))*Inputs!$B$200</f>
        <v>4.9995</v>
      </c>
      <c r="G21" s="40" t="n">
        <f aca="false">IF(2029=Inputs!$B$53-1,Inputs!$B$48*Inputs!$B$49,IF(2029=Inputs!$B$53,Inputs!$B$48*(1-Inputs!$B$49),0))*Inputs!$B$200</f>
        <v>10.0005</v>
      </c>
      <c r="H21" s="40" t="n">
        <f aca="false">IF(2030=Inputs!$B$53-1,Inputs!$B$48*Inputs!$B$49,IF(2030=Inputs!$B$53,Inputs!$B$48*(1-Inputs!$B$49),0))*Inputs!$B$200</f>
        <v>0</v>
      </c>
      <c r="I21" s="40" t="n">
        <f aca="false">IF(2031=Inputs!$B$53-1,Inputs!$B$48*Inputs!$B$49,IF(2031=Inputs!$B$53,Inputs!$B$48*(1-Inputs!$B$49),0))*Inputs!$B$200</f>
        <v>0</v>
      </c>
      <c r="J21" s="40" t="n">
        <f aca="false">IF(2032=Inputs!$B$53-1,Inputs!$B$48*Inputs!$B$49,IF(2032=Inputs!$B$53,Inputs!$B$48*(1-Inputs!$B$49),0))*Inputs!$B$200</f>
        <v>0</v>
      </c>
      <c r="K21" s="40" t="n">
        <f aca="false">IF(2033=Inputs!$B$53-1,Inputs!$B$48*Inputs!$B$49,IF(2033=Inputs!$B$53,Inputs!$B$48*(1-Inputs!$B$49),0))*Inputs!$B$200</f>
        <v>0</v>
      </c>
      <c r="L21" s="40" t="n">
        <f aca="false">IF(2034=Inputs!$B$53-1,Inputs!$B$48*Inputs!$B$49,IF(2034=Inputs!$B$53,Inputs!$B$48*(1-Inputs!$B$49),0))*Inputs!$B$200</f>
        <v>0</v>
      </c>
      <c r="M21" s="40" t="n">
        <f aca="false">IF(2035=Inputs!$B$53-1,Inputs!$B$48*Inputs!$B$49,IF(2035=Inputs!$B$53,Inputs!$B$48*(1-Inputs!$B$49),0))*Inputs!$B$200</f>
        <v>0</v>
      </c>
      <c r="N21" s="40" t="n">
        <f aca="false">IF(2036=Inputs!$B$53-1,Inputs!$B$48*Inputs!$B$49,IF(2036=Inputs!$B$53,Inputs!$B$48*(1-Inputs!$B$49),0))*Inputs!$B$200</f>
        <v>0</v>
      </c>
      <c r="O21" s="40" t="n">
        <f aca="false">IF(2037=Inputs!$B$53-1,Inputs!$B$48*Inputs!$B$49,IF(2037=Inputs!$B$53,Inputs!$B$48*(1-Inputs!$B$49),0))*Inputs!$B$200</f>
        <v>0</v>
      </c>
      <c r="P21" s="40" t="n">
        <f aca="false">IF(2038=Inputs!$B$53-1,Inputs!$B$48*Inputs!$B$49,IF(2038=Inputs!$B$53,Inputs!$B$48*(1-Inputs!$B$49),0))*Inputs!$B$200</f>
        <v>0</v>
      </c>
      <c r="Q21" s="40" t="n">
        <f aca="false">IF(2039=Inputs!$B$53-1,Inputs!$B$48*Inputs!$B$49,IF(2039=Inputs!$B$53,Inputs!$B$48*(1-Inputs!$B$49),0))*Inputs!$B$200</f>
        <v>0</v>
      </c>
      <c r="R21" s="40" t="n">
        <f aca="false">IF(2040=Inputs!$B$53-1,Inputs!$B$48*Inputs!$B$49,IF(2040=Inputs!$B$53,Inputs!$B$48*(1-Inputs!$B$49),0))*Inputs!$B$200</f>
        <v>0</v>
      </c>
      <c r="S21" s="40" t="n">
        <f aca="false">IF(2041=Inputs!$B$53-1,Inputs!$B$48*Inputs!$B$49,IF(2041=Inputs!$B$53,Inputs!$B$48*(1-Inputs!$B$49),0))*Inputs!$B$200</f>
        <v>0</v>
      </c>
      <c r="T21" s="40" t="n">
        <f aca="false">IF(2042=Inputs!$B$53-1,Inputs!$B$48*Inputs!$B$49,IF(2042=Inputs!$B$53,Inputs!$B$48*(1-Inputs!$B$49),0))*Inputs!$B$200</f>
        <v>0</v>
      </c>
      <c r="U21" s="40" t="n">
        <f aca="false">IF(2043=Inputs!$B$53-1,Inputs!$B$48*Inputs!$B$49,IF(2043=Inputs!$B$53,Inputs!$B$48*(1-Inputs!$B$49),0))*Inputs!$B$200</f>
        <v>0</v>
      </c>
      <c r="V21" s="40" t="n">
        <f aca="false">IF(2044=Inputs!$B$53-1,Inputs!$B$48*Inputs!$B$49,IF(2044=Inputs!$B$53,Inputs!$B$48*(1-Inputs!$B$49),0))*Inputs!$B$200</f>
        <v>0</v>
      </c>
      <c r="W21" s="40" t="n">
        <f aca="false">IF(2045=Inputs!$B$53-1,Inputs!$B$48*Inputs!$B$49,IF(2045=Inputs!$B$53,Inputs!$B$48*(1-Inputs!$B$49),0))*Inputs!$B$200</f>
        <v>0</v>
      </c>
      <c r="X21" s="40" t="n">
        <f aca="false">IF(2046=Inputs!$B$53-1,Inputs!$B$48*Inputs!$B$49,IF(2046=Inputs!$B$53,Inputs!$B$48*(1-Inputs!$B$49),0))*Inputs!$B$200</f>
        <v>0</v>
      </c>
      <c r="Y21" s="40" t="n">
        <f aca="false">IF(2047=Inputs!$B$53-1,Inputs!$B$48*Inputs!$B$49,IF(2047=Inputs!$B$53,Inputs!$B$48*(1-Inputs!$B$49),0))*Inputs!$B$200</f>
        <v>0</v>
      </c>
      <c r="Z21" s="40" t="n">
        <f aca="false">IF(2048=Inputs!$B$53-1,Inputs!$B$48*Inputs!$B$49,IF(2048=Inputs!$B$53,Inputs!$B$48*(1-Inputs!$B$49),0))*Inputs!$B$200</f>
        <v>0</v>
      </c>
      <c r="AA21" s="40" t="n">
        <f aca="false">IF(2049=Inputs!$B$53-1,Inputs!$B$48*Inputs!$B$49,IF(2049=Inputs!$B$53,Inputs!$B$48*(1-Inputs!$B$49),0))*Inputs!$B$200</f>
        <v>0</v>
      </c>
      <c r="AB21" s="40" t="n">
        <f aca="false">IF(2050=Inputs!$B$53-1,Inputs!$B$48*Inputs!$B$49,IF(2050=Inputs!$B$53,Inputs!$B$48*(1-Inputs!$B$49),0))*Inputs!$B$200</f>
        <v>0</v>
      </c>
      <c r="AC21" s="40" t="n">
        <f aca="false">IF(2051=Inputs!$B$53-1,Inputs!$B$48*Inputs!$B$49,IF(2051=Inputs!$B$53,Inputs!$B$48*(1-Inputs!$B$49),0))*Inputs!$B$200</f>
        <v>0</v>
      </c>
      <c r="AD21" s="40" t="n">
        <f aca="false">IF(2052=Inputs!$B$53-1,Inputs!$B$48*Inputs!$B$49,IF(2052=Inputs!$B$53,Inputs!$B$48*(1-Inputs!$B$49),0))*Inputs!$B$200</f>
        <v>0</v>
      </c>
      <c r="AE21" s="40" t="n">
        <f aca="false">IF(2053=Inputs!$B$53-1,Inputs!$B$48*Inputs!$B$49,IF(2053=Inputs!$B$53,Inputs!$B$48*(1-Inputs!$B$49),0))*Inputs!$B$200</f>
        <v>0</v>
      </c>
      <c r="AF21" s="40" t="n">
        <f aca="false">IF(2054=Inputs!$B$53-1,Inputs!$B$48*Inputs!$B$49,IF(2054=Inputs!$B$53,Inputs!$B$48*(1-Inputs!$B$49),0))*Inputs!$B$200</f>
        <v>0</v>
      </c>
      <c r="AG21" s="40" t="n">
        <f aca="false">IF(2055=Inputs!$B$53-1,Inputs!$B$48*Inputs!$B$49,IF(2055=Inputs!$B$53,Inputs!$B$48*(1-Inputs!$B$49),0))*Inputs!$B$200</f>
        <v>0</v>
      </c>
      <c r="AH21" s="40" t="n">
        <f aca="false">IF(2056=Inputs!$B$53-1,Inputs!$B$48*Inputs!$B$49,IF(2056=Inputs!$B$53,Inputs!$B$48*(1-Inputs!$B$49),0))*Inputs!$B$200</f>
        <v>0</v>
      </c>
      <c r="AI21" s="40" t="n">
        <f aca="false">IF(2057=Inputs!$B$53-1,Inputs!$B$48*Inputs!$B$49,IF(2057=Inputs!$B$53,Inputs!$B$48*(1-Inputs!$B$49),0))*Inputs!$B$200</f>
        <v>0</v>
      </c>
      <c r="AJ21" s="40" t="n">
        <f aca="false">IF(2058=Inputs!$B$53-1,Inputs!$B$48*Inputs!$B$49,IF(2058=Inputs!$B$53,Inputs!$B$48*(1-Inputs!$B$49),0))*Inputs!$B$200</f>
        <v>0</v>
      </c>
      <c r="AK21" s="40" t="n">
        <f aca="false">IF(2059=Inputs!$B$53-1,Inputs!$B$48*Inputs!$B$49,IF(2059=Inputs!$B$53,Inputs!$B$48*(1-Inputs!$B$49),0))*Inputs!$B$200</f>
        <v>0</v>
      </c>
      <c r="AL21" s="40" t="n">
        <f aca="false">IF(2060=Inputs!$B$53-1,Inputs!$B$48*Inputs!$B$49,IF(2060=Inputs!$B$53,Inputs!$B$48*(1-Inputs!$B$49),0))*Inputs!$B$200</f>
        <v>0</v>
      </c>
      <c r="AM21" s="40" t="n">
        <f aca="false">IF(2061=Inputs!$B$53-1,Inputs!$B$48*Inputs!$B$49,IF(2061=Inputs!$B$53,Inputs!$B$48*(1-Inputs!$B$49),0))*Inputs!$B$200</f>
        <v>0</v>
      </c>
      <c r="AN21" s="40" t="n">
        <f aca="false">IF(2062=Inputs!$B$53-1,Inputs!$B$48*Inputs!$B$49,IF(2062=Inputs!$B$53,Inputs!$B$48*(1-Inputs!$B$49),0))*Inputs!$B$200</f>
        <v>0</v>
      </c>
      <c r="AO21" s="40" t="n">
        <f aca="false">IF(2063=Inputs!$B$53-1,Inputs!$B$48*Inputs!$B$49,IF(2063=Inputs!$B$53,Inputs!$B$48*(1-Inputs!$B$49),0))*Inputs!$B$200</f>
        <v>0</v>
      </c>
      <c r="AP21" s="40" t="n">
        <f aca="false">IF(2064=Inputs!$B$53-1,Inputs!$B$48*Inputs!$B$49,IF(2064=Inputs!$B$53,Inputs!$B$48*(1-Inputs!$B$49),0))*Inputs!$B$200</f>
        <v>0</v>
      </c>
      <c r="AQ21" s="40" t="n">
        <f aca="false">IF(2065=Inputs!$B$53-1,Inputs!$B$48*Inputs!$B$49,IF(2065=Inputs!$B$53,Inputs!$B$48*(1-Inputs!$B$49),0))*Inputs!$B$200</f>
        <v>0</v>
      </c>
      <c r="AR21" s="40" t="n">
        <f aca="false">IF(2066=Inputs!$B$53-1,Inputs!$B$48*Inputs!$B$49,IF(2066=Inputs!$B$53,Inputs!$B$48*(1-Inputs!$B$49),0))*Inputs!$B$200</f>
        <v>0</v>
      </c>
      <c r="AS21" s="40" t="n">
        <f aca="false">IF(2067=Inputs!$B$53-1,Inputs!$B$48*Inputs!$B$49,IF(2067=Inputs!$B$53,Inputs!$B$48*(1-Inputs!$B$49),0))*Inputs!$B$200</f>
        <v>0</v>
      </c>
      <c r="AT21" s="40" t="n">
        <f aca="false">IF(2068=Inputs!$B$53-1,Inputs!$B$48*Inputs!$B$49,IF(2068=Inputs!$B$53,Inputs!$B$48*(1-Inputs!$B$49),0))*Inputs!$B$200</f>
        <v>0</v>
      </c>
      <c r="AU21" s="40" t="n">
        <f aca="false">IF(2069=Inputs!$B$53-1,Inputs!$B$48*Inputs!$B$49,IF(2069=Inputs!$B$53,Inputs!$B$48*(1-Inputs!$B$49),0))*Inputs!$B$200</f>
        <v>0</v>
      </c>
      <c r="AV21" s="40" t="n">
        <f aca="false">IF(2070=Inputs!$B$53-1,Inputs!$B$48*Inputs!$B$49,IF(2070=Inputs!$B$53,Inputs!$B$48*(1-Inputs!$B$49),0))*Inputs!$B$200</f>
        <v>0</v>
      </c>
      <c r="AW21" s="40" t="n">
        <f aca="false">IF(2071=Inputs!$B$53-1,Inputs!$B$48*Inputs!$B$49,IF(2071=Inputs!$B$53,Inputs!$B$48*(1-Inputs!$B$49),0))*Inputs!$B$200</f>
        <v>0</v>
      </c>
      <c r="AX21" s="40" t="n">
        <f aca="false">IF(2072=Inputs!$B$53-1,Inputs!$B$48*Inputs!$B$49,IF(2072=Inputs!$B$53,Inputs!$B$48*(1-Inputs!$B$49),0))*Inputs!$B$200</f>
        <v>0</v>
      </c>
      <c r="AY21" s="40" t="n">
        <f aca="false">IF(2073=Inputs!$B$53-1,Inputs!$B$48*Inputs!$B$49,IF(2073=Inputs!$B$53,Inputs!$B$48*(1-Inputs!$B$49),0))*Inputs!$B$200</f>
        <v>0</v>
      </c>
      <c r="AZ21" s="40" t="n">
        <f aca="false">IF(2074=Inputs!$B$53-1,Inputs!$B$48*Inputs!$B$49,IF(2074=Inputs!$B$53,Inputs!$B$48*(1-Inputs!$B$49),0))*Inputs!$B$200</f>
        <v>0</v>
      </c>
    </row>
    <row r="22" customFormat="false" ht="15" hidden="false" customHeight="true" outlineLevel="0" collapsed="false">
      <c r="A22" s="6" t="s">
        <v>591</v>
      </c>
      <c r="C22" s="44" t="n">
        <f aca="false">SUM(D22:AZ22)</f>
        <v>215.26939361792</v>
      </c>
      <c r="D22" s="44" t="n">
        <f aca="false">D19+D20+D21</f>
        <v>0</v>
      </c>
      <c r="E22" s="44" t="n">
        <f aca="false">E19+E20+E21</f>
        <v>40.053878723584</v>
      </c>
      <c r="F22" s="44" t="n">
        <f aca="false">F19+F20+F21</f>
        <v>115.147666489856</v>
      </c>
      <c r="G22" s="44" t="n">
        <f aca="false">G19+G20+G21</f>
        <v>60.06784840448</v>
      </c>
      <c r="H22" s="44" t="n">
        <f aca="false">H19+H20+H21</f>
        <v>0</v>
      </c>
      <c r="I22" s="44" t="n">
        <f aca="false">I19+I20+I21</f>
        <v>0</v>
      </c>
      <c r="J22" s="44" t="n">
        <f aca="false">J19+J20+J21</f>
        <v>0</v>
      </c>
      <c r="K22" s="44" t="n">
        <f aca="false">K19+K20+K21</f>
        <v>0</v>
      </c>
      <c r="L22" s="44" t="n">
        <f aca="false">L19+L20+L21</f>
        <v>0</v>
      </c>
      <c r="M22" s="44" t="n">
        <f aca="false">M19+M20+M21</f>
        <v>0</v>
      </c>
      <c r="N22" s="44" t="n">
        <f aca="false">N19+N20+N21</f>
        <v>0</v>
      </c>
      <c r="O22" s="44" t="n">
        <f aca="false">O19+O20+O21</f>
        <v>0</v>
      </c>
      <c r="P22" s="44" t="n">
        <f aca="false">P19+P20+P21</f>
        <v>0</v>
      </c>
      <c r="Q22" s="44" t="n">
        <f aca="false">Q19+Q20+Q21</f>
        <v>0</v>
      </c>
      <c r="R22" s="44" t="n">
        <f aca="false">R19+R20+R21</f>
        <v>0</v>
      </c>
      <c r="S22" s="44" t="n">
        <f aca="false">S19+S20+S21</f>
        <v>0</v>
      </c>
      <c r="T22" s="44" t="n">
        <f aca="false">T19+T20+T21</f>
        <v>0</v>
      </c>
      <c r="U22" s="44" t="n">
        <f aca="false">U19+U20+U21</f>
        <v>0</v>
      </c>
      <c r="V22" s="44" t="n">
        <f aca="false">V19+V20+V21</f>
        <v>0</v>
      </c>
      <c r="W22" s="44" t="n">
        <f aca="false">W19+W20+W21</f>
        <v>0</v>
      </c>
      <c r="X22" s="44" t="n">
        <f aca="false">X19+X20+X21</f>
        <v>0</v>
      </c>
      <c r="Y22" s="44" t="n">
        <f aca="false">Y19+Y20+Y21</f>
        <v>0</v>
      </c>
      <c r="Z22" s="44" t="n">
        <f aca="false">Z19+Z20+Z21</f>
        <v>0</v>
      </c>
      <c r="AA22" s="44" t="n">
        <f aca="false">AA19+AA20+AA21</f>
        <v>0</v>
      </c>
      <c r="AB22" s="44" t="n">
        <f aca="false">AB19+AB20+AB21</f>
        <v>0</v>
      </c>
      <c r="AC22" s="44" t="n">
        <f aca="false">AC19+AC20+AC21</f>
        <v>0</v>
      </c>
      <c r="AD22" s="44" t="n">
        <f aca="false">AD19+AD20+AD21</f>
        <v>0</v>
      </c>
      <c r="AE22" s="44" t="n">
        <f aca="false">AE19+AE20+AE21</f>
        <v>0</v>
      </c>
      <c r="AF22" s="44" t="n">
        <f aca="false">AF19+AF20+AF21</f>
        <v>0</v>
      </c>
      <c r="AG22" s="44" t="n">
        <f aca="false">AG19+AG20+AG21</f>
        <v>0</v>
      </c>
      <c r="AH22" s="44" t="n">
        <f aca="false">AH19+AH20+AH21</f>
        <v>0</v>
      </c>
      <c r="AI22" s="44" t="n">
        <f aca="false">AI19+AI20+AI21</f>
        <v>0</v>
      </c>
      <c r="AJ22" s="44" t="n">
        <f aca="false">AJ19+AJ20+AJ21</f>
        <v>0</v>
      </c>
      <c r="AK22" s="44" t="n">
        <f aca="false">AK19+AK20+AK21</f>
        <v>0</v>
      </c>
      <c r="AL22" s="44" t="n">
        <f aca="false">AL19+AL20+AL21</f>
        <v>0</v>
      </c>
      <c r="AM22" s="44" t="n">
        <f aca="false">AM19+AM20+AM21</f>
        <v>0</v>
      </c>
      <c r="AN22" s="44" t="n">
        <f aca="false">AN19+AN20+AN21</f>
        <v>0</v>
      </c>
      <c r="AO22" s="44" t="n">
        <f aca="false">AO19+AO20+AO21</f>
        <v>0</v>
      </c>
      <c r="AP22" s="44" t="n">
        <f aca="false">AP19+AP20+AP21</f>
        <v>0</v>
      </c>
      <c r="AQ22" s="44" t="n">
        <f aca="false">AQ19+AQ20+AQ21</f>
        <v>0</v>
      </c>
      <c r="AR22" s="44" t="n">
        <f aca="false">AR19+AR20+AR21</f>
        <v>0</v>
      </c>
      <c r="AS22" s="44" t="n">
        <f aca="false">AS19+AS20+AS21</f>
        <v>0</v>
      </c>
      <c r="AT22" s="44" t="n">
        <f aca="false">AT19+AT20+AT21</f>
        <v>0</v>
      </c>
      <c r="AU22" s="44" t="n">
        <f aca="false">AU19+AU20+AU21</f>
        <v>0</v>
      </c>
      <c r="AV22" s="44" t="n">
        <f aca="false">AV19+AV20+AV21</f>
        <v>0</v>
      </c>
      <c r="AW22" s="44" t="n">
        <f aca="false">AW19+AW20+AW21</f>
        <v>0</v>
      </c>
      <c r="AX22" s="44" t="n">
        <f aca="false">AX19+AX20+AX21</f>
        <v>0</v>
      </c>
      <c r="AY22" s="44" t="n">
        <f aca="false">AY19+AY20+AY21</f>
        <v>0</v>
      </c>
      <c r="AZ22" s="44" t="n">
        <f aca="false">AZ19+AZ20+AZ21</f>
        <v>0</v>
      </c>
    </row>
    <row r="24" customFormat="false" ht="15" hidden="false" customHeight="true" outlineLevel="0" collapsed="false">
      <c r="A24" s="11" t="s">
        <v>592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</row>
    <row r="25" customFormat="false" ht="15" hidden="false" customHeight="true" outlineLevel="0" collapsed="false">
      <c r="A25" s="13" t="s">
        <v>593</v>
      </c>
      <c r="D25" s="49" t="n">
        <f aca="false">(1+Inputs!$B$64)^(2026-2029)</f>
        <v>0.936525992018507</v>
      </c>
      <c r="E25" s="49" t="n">
        <f aca="false">(1+Inputs!$B$64)^(2027-2029)</f>
        <v>0.957223216442116</v>
      </c>
      <c r="F25" s="49" t="n">
        <f aca="false">(1+Inputs!$B$64)^(2028-2029)</f>
        <v>0.978377849525487</v>
      </c>
      <c r="G25" s="49" t="n">
        <f aca="false">(1+Inputs!$B$64)^(2029-2029)</f>
        <v>1</v>
      </c>
      <c r="H25" s="49" t="n">
        <f aca="false">(1+Inputs!$B$64)^(2030-2029)</f>
        <v>1.0221</v>
      </c>
      <c r="I25" s="49" t="n">
        <f aca="false">(1+Inputs!$B$64)^(2031-2029)</f>
        <v>1.04468841</v>
      </c>
      <c r="J25" s="49" t="n">
        <f aca="false">(1+Inputs!$B$64)^(2032-2029)</f>
        <v>1.067776023861</v>
      </c>
      <c r="K25" s="49" t="n">
        <f aca="false">(1+Inputs!$B$64)^(2033-2029)</f>
        <v>1.09137387398833</v>
      </c>
      <c r="L25" s="49" t="n">
        <f aca="false">(1+Inputs!$B$64)^(2034-2029)</f>
        <v>1.11549323660347</v>
      </c>
      <c r="M25" s="49" t="n">
        <f aca="false">(1+Inputs!$B$64)^(2035-2029)</f>
        <v>1.14014563713241</v>
      </c>
      <c r="N25" s="49" t="n">
        <f aca="false">(1+Inputs!$B$64)^(2036-2029)</f>
        <v>1.16534285571303</v>
      </c>
      <c r="O25" s="49" t="n">
        <f aca="false">(1+Inputs!$B$64)^(2037-2029)</f>
        <v>1.19109693282429</v>
      </c>
      <c r="P25" s="49" t="n">
        <f aca="false">(1+Inputs!$B$64)^(2038-2029)</f>
        <v>1.21742017503971</v>
      </c>
      <c r="Q25" s="49" t="n">
        <f aca="false">(1+Inputs!$B$64)^(2039-2029)</f>
        <v>1.24432516090809</v>
      </c>
      <c r="R25" s="49" t="n">
        <f aca="false">(1+Inputs!$B$64)^(2040-2029)</f>
        <v>1.27182474696415</v>
      </c>
      <c r="S25" s="49" t="n">
        <f aca="false">(1+Inputs!$B$64)^(2041-2029)</f>
        <v>1.29993207387206</v>
      </c>
      <c r="T25" s="49" t="n">
        <f aca="false">(1+Inputs!$B$64)^(2042-2029)</f>
        <v>1.32866057270463</v>
      </c>
      <c r="U25" s="49" t="n">
        <f aca="false">(1+Inputs!$B$64)^(2043-2029)</f>
        <v>1.35802397136141</v>
      </c>
      <c r="V25" s="49" t="n">
        <f aca="false">(1+Inputs!$B$64)^(2044-2029)</f>
        <v>1.38803630112849</v>
      </c>
      <c r="W25" s="49" t="n">
        <f aca="false">(1+Inputs!$B$64)^(2045-2029)</f>
        <v>1.41871190338343</v>
      </c>
      <c r="X25" s="49" t="n">
        <f aca="false">(1+Inputs!$B$64)^(2046-2029)</f>
        <v>1.45006543644821</v>
      </c>
      <c r="Y25" s="49" t="n">
        <f aca="false">(1+Inputs!$B$64)^(2047-2029)</f>
        <v>1.48211188259371</v>
      </c>
      <c r="Z25" s="49" t="n">
        <f aca="false">(1+Inputs!$B$64)^(2048-2029)</f>
        <v>1.51486655519903</v>
      </c>
      <c r="AA25" s="49" t="n">
        <f aca="false">(1+Inputs!$B$64)^(2049-2029)</f>
        <v>1.54834510606893</v>
      </c>
      <c r="AB25" s="49" t="n">
        <f aca="false">(1+Inputs!$B$64)^(2050-2029)</f>
        <v>1.58256353291306</v>
      </c>
      <c r="AC25" s="49" t="n">
        <f aca="false">(1+Inputs!$B$64)^(2051-2029)</f>
        <v>1.61753818699044</v>
      </c>
      <c r="AD25" s="49" t="n">
        <f aca="false">(1+Inputs!$B$64)^(2052-2029)</f>
        <v>1.65328578092292</v>
      </c>
      <c r="AE25" s="49" t="n">
        <f aca="false">(1+Inputs!$B$64)^(2053-2029)</f>
        <v>1.68982339668132</v>
      </c>
      <c r="AF25" s="49" t="n">
        <f aca="false">(1+Inputs!$B$64)^(2054-2029)</f>
        <v>1.72716849374798</v>
      </c>
      <c r="AG25" s="49" t="n">
        <f aca="false">(1+Inputs!$B$64)^(2055-2029)</f>
        <v>1.76533891745981</v>
      </c>
      <c r="AH25" s="49" t="n">
        <f aca="false">(1+Inputs!$B$64)^(2056-2029)</f>
        <v>1.80435290753567</v>
      </c>
      <c r="AI25" s="49" t="n">
        <f aca="false">(1+Inputs!$B$64)^(2057-2029)</f>
        <v>1.84422910679221</v>
      </c>
      <c r="AJ25" s="49" t="n">
        <f aca="false">(1+Inputs!$B$64)^(2058-2029)</f>
        <v>1.88498657005232</v>
      </c>
      <c r="AK25" s="49" t="n">
        <f aca="false">(1+Inputs!$B$64)^(2059-2029)</f>
        <v>1.92664477325047</v>
      </c>
      <c r="AL25" s="49" t="n">
        <f aca="false">(1+Inputs!$B$64)^(2060-2029)</f>
        <v>1.96922362273931</v>
      </c>
      <c r="AM25" s="49" t="n">
        <f aca="false">(1+Inputs!$B$64)^(2061-2029)</f>
        <v>2.01274346480185</v>
      </c>
      <c r="AN25" s="49" t="n">
        <f aca="false">(1+Inputs!$B$64)^(2062-2029)</f>
        <v>2.05722509537397</v>
      </c>
      <c r="AO25" s="49" t="n">
        <f aca="false">(1+Inputs!$B$64)^(2063-2029)</f>
        <v>2.10268976998173</v>
      </c>
      <c r="AP25" s="49" t="n">
        <f aca="false">(1+Inputs!$B$64)^(2064-2029)</f>
        <v>2.14915921389833</v>
      </c>
      <c r="AQ25" s="49" t="n">
        <f aca="false">(1+Inputs!$B$64)^(2065-2029)</f>
        <v>2.19665563252548</v>
      </c>
      <c r="AR25" s="49" t="n">
        <f aca="false">(1+Inputs!$B$64)^(2066-2029)</f>
        <v>2.24520172200429</v>
      </c>
      <c r="AS25" s="49" t="n">
        <f aca="false">(1+Inputs!$B$64)^(2067-2029)</f>
        <v>2.29482068006059</v>
      </c>
      <c r="AT25" s="49" t="n">
        <f aca="false">(1+Inputs!$B$64)^(2068-2029)</f>
        <v>2.34553621708993</v>
      </c>
      <c r="AU25" s="49" t="n">
        <f aca="false">(1+Inputs!$B$64)^(2069-2029)</f>
        <v>2.39737256748762</v>
      </c>
      <c r="AV25" s="49" t="n">
        <f aca="false">(1+Inputs!$B$64)^(2070-2029)</f>
        <v>2.45035450122909</v>
      </c>
      <c r="AW25" s="49" t="n">
        <f aca="false">(1+Inputs!$B$64)^(2071-2029)</f>
        <v>2.50450733570625</v>
      </c>
      <c r="AX25" s="49" t="n">
        <f aca="false">(1+Inputs!$B$64)^(2072-2029)</f>
        <v>2.55985694782536</v>
      </c>
      <c r="AY25" s="49" t="n">
        <f aca="false">(1+Inputs!$B$64)^(2073-2029)</f>
        <v>2.6164297863723</v>
      </c>
      <c r="AZ25" s="49" t="n">
        <f aca="false">(1+Inputs!$B$64)^(2074-2029)</f>
        <v>2.67425288465113</v>
      </c>
    </row>
    <row r="26" customFormat="false" ht="15" hidden="false" customHeight="true" outlineLevel="0" collapsed="false">
      <c r="A26" s="13" t="s">
        <v>594</v>
      </c>
      <c r="D26" s="19" t="n">
        <f aca="false">IF((2026-Inputs!$B$53-Inputs!$B$9)&lt;0,0,(Inputs!$B$58*Inputs!$B$59*Inputs!$B$61+(12-Inputs!$B$58)*Inputs!$B$60*Inputs!$B$62)/(Inputs!$B$58*Inputs!$B$61+(12-Inputs!$B$58)*Inputs!$B$62)*D25)</f>
        <v>0</v>
      </c>
      <c r="E26" s="19" t="n">
        <f aca="false">IF((2027-Inputs!$B$53-Inputs!$B$9)&lt;0,0,(Inputs!$B$58*Inputs!$B$59*Inputs!$B$61+(12-Inputs!$B$58)*Inputs!$B$60*Inputs!$B$62)/(Inputs!$B$58*Inputs!$B$61+(12-Inputs!$B$58)*Inputs!$B$62)*E25)</f>
        <v>0</v>
      </c>
      <c r="F26" s="19" t="n">
        <f aca="false">IF((2028-Inputs!$B$53-Inputs!$B$9)&lt;0,0,(Inputs!$B$58*Inputs!$B$59*Inputs!$B$61+(12-Inputs!$B$58)*Inputs!$B$60*Inputs!$B$62)/(Inputs!$B$58*Inputs!$B$61+(12-Inputs!$B$58)*Inputs!$B$62)*F25)</f>
        <v>0</v>
      </c>
      <c r="G26" s="19" t="n">
        <f aca="false">IF((2029-Inputs!$B$53-Inputs!$B$9)&lt;0,0,(Inputs!$B$58*Inputs!$B$59*Inputs!$B$61+(12-Inputs!$B$58)*Inputs!$B$60*Inputs!$B$62)/(Inputs!$B$58*Inputs!$B$61+(12-Inputs!$B$58)*Inputs!$B$62)*G25)</f>
        <v>633.783783783784</v>
      </c>
      <c r="H26" s="19" t="n">
        <f aca="false">IF((2030-Inputs!$B$53-Inputs!$B$9)&lt;0,0,(Inputs!$B$58*Inputs!$B$59*Inputs!$B$61+(12-Inputs!$B$58)*Inputs!$B$60*Inputs!$B$62)/(Inputs!$B$58*Inputs!$B$61+(12-Inputs!$B$58)*Inputs!$B$62)*H25)</f>
        <v>647.790405405405</v>
      </c>
      <c r="I26" s="19" t="n">
        <f aca="false">IF((2031-Inputs!$B$53-Inputs!$B$9)&lt;0,0,(Inputs!$B$58*Inputs!$B$59*Inputs!$B$61+(12-Inputs!$B$58)*Inputs!$B$60*Inputs!$B$62)/(Inputs!$B$58*Inputs!$B$61+(12-Inputs!$B$58)*Inputs!$B$62)*I25)</f>
        <v>662.106573364865</v>
      </c>
      <c r="J26" s="19" t="n">
        <f aca="false">IF((2032-Inputs!$B$53-Inputs!$B$9)&lt;0,0,(Inputs!$B$58*Inputs!$B$59*Inputs!$B$61+(12-Inputs!$B$58)*Inputs!$B$60*Inputs!$B$62)/(Inputs!$B$58*Inputs!$B$61+(12-Inputs!$B$58)*Inputs!$B$62)*J25)</f>
        <v>676.739128636228</v>
      </c>
      <c r="K26" s="19" t="n">
        <f aca="false">IF((2033-Inputs!$B$53-Inputs!$B$9)&lt;0,0,(Inputs!$B$58*Inputs!$B$59*Inputs!$B$61+(12-Inputs!$B$58)*Inputs!$B$60*Inputs!$B$62)/(Inputs!$B$58*Inputs!$B$61+(12-Inputs!$B$58)*Inputs!$B$62)*K25)</f>
        <v>691.695063379089</v>
      </c>
      <c r="L26" s="19" t="n">
        <f aca="false">IF((2034-Inputs!$B$53-Inputs!$B$9)&lt;0,0,(Inputs!$B$58*Inputs!$B$59*Inputs!$B$61+(12-Inputs!$B$58)*Inputs!$B$60*Inputs!$B$62)/(Inputs!$B$58*Inputs!$B$61+(12-Inputs!$B$58)*Inputs!$B$62)*L25)</f>
        <v>706.981524279767</v>
      </c>
      <c r="M26" s="19" t="n">
        <f aca="false">IF((2035-Inputs!$B$53-Inputs!$B$9)&lt;0,0,(Inputs!$B$58*Inputs!$B$59*Inputs!$B$61+(12-Inputs!$B$58)*Inputs!$B$60*Inputs!$B$62)/(Inputs!$B$58*Inputs!$B$61+(12-Inputs!$B$58)*Inputs!$B$62)*M25)</f>
        <v>722.60581596635</v>
      </c>
      <c r="N26" s="19" t="n">
        <f aca="false">IF((2036-Inputs!$B$53-Inputs!$B$9)&lt;0,0,(Inputs!$B$58*Inputs!$B$59*Inputs!$B$61+(12-Inputs!$B$58)*Inputs!$B$60*Inputs!$B$62)/(Inputs!$B$58*Inputs!$B$61+(12-Inputs!$B$58)*Inputs!$B$62)*N25)</f>
        <v>738.575404499206</v>
      </c>
      <c r="O26" s="19" t="n">
        <f aca="false">IF((2037-Inputs!$B$53-Inputs!$B$9)&lt;0,0,(Inputs!$B$58*Inputs!$B$59*Inputs!$B$61+(12-Inputs!$B$58)*Inputs!$B$60*Inputs!$B$62)/(Inputs!$B$58*Inputs!$B$61+(12-Inputs!$B$58)*Inputs!$B$62)*O25)</f>
        <v>754.897920938638</v>
      </c>
      <c r="P26" s="19" t="n">
        <f aca="false">IF((2038-Inputs!$B$53-Inputs!$B$9)&lt;0,0,(Inputs!$B$58*Inputs!$B$59*Inputs!$B$61+(12-Inputs!$B$58)*Inputs!$B$60*Inputs!$B$62)/(Inputs!$B$58*Inputs!$B$61+(12-Inputs!$B$58)*Inputs!$B$62)*P25)</f>
        <v>771.581164991383</v>
      </c>
      <c r="Q26" s="19" t="n">
        <f aca="false">IF((2039-Inputs!$B$53-Inputs!$B$9)&lt;0,0,(Inputs!$B$58*Inputs!$B$59*Inputs!$B$61+(12-Inputs!$B$58)*Inputs!$B$60*Inputs!$B$62)/(Inputs!$B$58*Inputs!$B$61+(12-Inputs!$B$58)*Inputs!$B$62)*Q25)</f>
        <v>788.633108737692</v>
      </c>
      <c r="R26" s="19" t="n">
        <f aca="false">IF((2040-Inputs!$B$53-Inputs!$B$9)&lt;0,0,(Inputs!$B$58*Inputs!$B$59*Inputs!$B$61+(12-Inputs!$B$58)*Inputs!$B$60*Inputs!$B$62)/(Inputs!$B$58*Inputs!$B$61+(12-Inputs!$B$58)*Inputs!$B$62)*R25)</f>
        <v>806.061900440795</v>
      </c>
      <c r="S26" s="19" t="n">
        <f aca="false">IF((2041-Inputs!$B$53-Inputs!$B$9)&lt;0,0,(Inputs!$B$58*Inputs!$B$59*Inputs!$B$61+(12-Inputs!$B$58)*Inputs!$B$60*Inputs!$B$62)/(Inputs!$B$58*Inputs!$B$61+(12-Inputs!$B$58)*Inputs!$B$62)*S25)</f>
        <v>823.875868440537</v>
      </c>
      <c r="T26" s="19" t="n">
        <f aca="false">IF((2042-Inputs!$B$53-Inputs!$B$9)&lt;0,0,(Inputs!$B$58*Inputs!$B$59*Inputs!$B$61+(12-Inputs!$B$58)*Inputs!$B$60*Inputs!$B$62)/(Inputs!$B$58*Inputs!$B$61+(12-Inputs!$B$58)*Inputs!$B$62)*T25)</f>
        <v>842.083525133072</v>
      </c>
      <c r="U26" s="19" t="n">
        <f aca="false">IF((2043-Inputs!$B$53-Inputs!$B$9)&lt;0,0,(Inputs!$B$58*Inputs!$B$59*Inputs!$B$61+(12-Inputs!$B$58)*Inputs!$B$60*Inputs!$B$62)/(Inputs!$B$58*Inputs!$B$61+(12-Inputs!$B$58)*Inputs!$B$62)*U25)</f>
        <v>860.693571038513</v>
      </c>
      <c r="V26" s="19" t="n">
        <f aca="false">IF((2044-Inputs!$B$53-Inputs!$B$9)&lt;0,0,(Inputs!$B$58*Inputs!$B$59*Inputs!$B$61+(12-Inputs!$B$58)*Inputs!$B$60*Inputs!$B$62)/(Inputs!$B$58*Inputs!$B$61+(12-Inputs!$B$58)*Inputs!$B$62)*V25)</f>
        <v>879.714898958465</v>
      </c>
      <c r="W26" s="19" t="n">
        <f aca="false">IF((2045-Inputs!$B$53-Inputs!$B$9)&lt;0,0,(Inputs!$B$58*Inputs!$B$59*Inputs!$B$61+(12-Inputs!$B$58)*Inputs!$B$60*Inputs!$B$62)/(Inputs!$B$58*Inputs!$B$61+(12-Inputs!$B$58)*Inputs!$B$62)*W25)</f>
        <v>899.156598225447</v>
      </c>
      <c r="X26" s="19" t="n">
        <f aca="false">IF((2046-Inputs!$B$53-Inputs!$B$9)&lt;0,0,(Inputs!$B$58*Inputs!$B$59*Inputs!$B$61+(12-Inputs!$B$58)*Inputs!$B$60*Inputs!$B$62)/(Inputs!$B$58*Inputs!$B$61+(12-Inputs!$B$58)*Inputs!$B$62)*X25)</f>
        <v>919.027959046229</v>
      </c>
      <c r="Y26" s="19" t="n">
        <f aca="false">IF((2047-Inputs!$B$53-Inputs!$B$9)&lt;0,0,(Inputs!$B$58*Inputs!$B$59*Inputs!$B$61+(12-Inputs!$B$58)*Inputs!$B$60*Inputs!$B$62)/(Inputs!$B$58*Inputs!$B$61+(12-Inputs!$B$58)*Inputs!$B$62)*Y25)</f>
        <v>939.338476941151</v>
      </c>
      <c r="Z26" s="19" t="n">
        <f aca="false">IF((2048-Inputs!$B$53-Inputs!$B$9)&lt;0,0,(Inputs!$B$58*Inputs!$B$59*Inputs!$B$61+(12-Inputs!$B$58)*Inputs!$B$60*Inputs!$B$62)/(Inputs!$B$58*Inputs!$B$61+(12-Inputs!$B$58)*Inputs!$B$62)*Z25)</f>
        <v>960.09785728155</v>
      </c>
      <c r="AA26" s="19" t="n">
        <f aca="false">IF((2049-Inputs!$B$53-Inputs!$B$9)&lt;0,0,(Inputs!$B$58*Inputs!$B$59*Inputs!$B$61+(12-Inputs!$B$58)*Inputs!$B$60*Inputs!$B$62)/(Inputs!$B$58*Inputs!$B$61+(12-Inputs!$B$58)*Inputs!$B$62)*AA25)</f>
        <v>981.316019927472</v>
      </c>
      <c r="AB26" s="19" t="n">
        <f aca="false">IF((2050-Inputs!$B$53-Inputs!$B$9)&lt;0,0,(Inputs!$B$58*Inputs!$B$59*Inputs!$B$61+(12-Inputs!$B$58)*Inputs!$B$60*Inputs!$B$62)/(Inputs!$B$58*Inputs!$B$61+(12-Inputs!$B$58)*Inputs!$B$62)*AB25)</f>
        <v>1003.00310396787</v>
      </c>
      <c r="AC26" s="19" t="n">
        <f aca="false">IF((2051-Inputs!$B$53-Inputs!$B$9)&lt;0,0,(Inputs!$B$58*Inputs!$B$59*Inputs!$B$61+(12-Inputs!$B$58)*Inputs!$B$60*Inputs!$B$62)/(Inputs!$B$58*Inputs!$B$61+(12-Inputs!$B$58)*Inputs!$B$62)*AC25)</f>
        <v>1025.16947256556</v>
      </c>
      <c r="AD26" s="19" t="n">
        <f aca="false">IF((2052-Inputs!$B$53-Inputs!$B$9)&lt;0,0,(Inputs!$B$58*Inputs!$B$59*Inputs!$B$61+(12-Inputs!$B$58)*Inputs!$B$60*Inputs!$B$62)/(Inputs!$B$58*Inputs!$B$61+(12-Inputs!$B$58)*Inputs!$B$62)*AD25)</f>
        <v>1047.82571790926</v>
      </c>
      <c r="AE26" s="19" t="n">
        <f aca="false">IF((2053-Inputs!$B$53-Inputs!$B$9)&lt;0,0,(Inputs!$B$58*Inputs!$B$59*Inputs!$B$61+(12-Inputs!$B$58)*Inputs!$B$60*Inputs!$B$62)/(Inputs!$B$58*Inputs!$B$61+(12-Inputs!$B$58)*Inputs!$B$62)*AE25)</f>
        <v>1070.98266627505</v>
      </c>
      <c r="AF26" s="19" t="n">
        <f aca="false">IF((2054-Inputs!$B$53-Inputs!$B$9)&lt;0,0,(Inputs!$B$58*Inputs!$B$59*Inputs!$B$61+(12-Inputs!$B$58)*Inputs!$B$60*Inputs!$B$62)/(Inputs!$B$58*Inputs!$B$61+(12-Inputs!$B$58)*Inputs!$B$62)*AF25)</f>
        <v>1094.65138319973</v>
      </c>
      <c r="AG26" s="19" t="n">
        <f aca="false">IF((2055-Inputs!$B$53-Inputs!$B$9)&lt;0,0,(Inputs!$B$58*Inputs!$B$59*Inputs!$B$61+(12-Inputs!$B$58)*Inputs!$B$60*Inputs!$B$62)/(Inputs!$B$58*Inputs!$B$61+(12-Inputs!$B$58)*Inputs!$B$62)*AG25)</f>
        <v>1118.84317876845</v>
      </c>
      <c r="AH26" s="19" t="n">
        <f aca="false">IF((2056-Inputs!$B$53-Inputs!$B$9)&lt;0,0,(Inputs!$B$58*Inputs!$B$59*Inputs!$B$61+(12-Inputs!$B$58)*Inputs!$B$60*Inputs!$B$62)/(Inputs!$B$58*Inputs!$B$61+(12-Inputs!$B$58)*Inputs!$B$62)*AH25)</f>
        <v>1143.56961301923</v>
      </c>
      <c r="AI26" s="19" t="n">
        <f aca="false">IF((2057-Inputs!$B$53-Inputs!$B$9)&lt;0,0,(Inputs!$B$58*Inputs!$B$59*Inputs!$B$61+(12-Inputs!$B$58)*Inputs!$B$60*Inputs!$B$62)/(Inputs!$B$58*Inputs!$B$61+(12-Inputs!$B$58)*Inputs!$B$62)*AI25)</f>
        <v>1168.84250146695</v>
      </c>
      <c r="AJ26" s="19" t="n">
        <f aca="false">IF((2058-Inputs!$B$53-Inputs!$B$9)&lt;0,0,(Inputs!$B$58*Inputs!$B$59*Inputs!$B$61+(12-Inputs!$B$58)*Inputs!$B$60*Inputs!$B$62)/(Inputs!$B$58*Inputs!$B$61+(12-Inputs!$B$58)*Inputs!$B$62)*AJ25)</f>
        <v>1194.67392074937</v>
      </c>
      <c r="AK26" s="19" t="n">
        <f aca="false">IF((2059-Inputs!$B$53-Inputs!$B$9)&lt;0,0,(Inputs!$B$58*Inputs!$B$59*Inputs!$B$61+(12-Inputs!$B$58)*Inputs!$B$60*Inputs!$B$62)/(Inputs!$B$58*Inputs!$B$61+(12-Inputs!$B$58)*Inputs!$B$62)*AK25)</f>
        <v>1221.07621439793</v>
      </c>
      <c r="AL26" s="19" t="n">
        <f aca="false">IF((2060-Inputs!$B$53-Inputs!$B$9)&lt;0,0,(Inputs!$B$58*Inputs!$B$59*Inputs!$B$61+(12-Inputs!$B$58)*Inputs!$B$60*Inputs!$B$62)/(Inputs!$B$58*Inputs!$B$61+(12-Inputs!$B$58)*Inputs!$B$62)*AL25)</f>
        <v>1248.06199873613</v>
      </c>
      <c r="AM26" s="19" t="n">
        <f aca="false">IF((2061-Inputs!$B$53-Inputs!$B$9)&lt;0,0,(Inputs!$B$58*Inputs!$B$59*Inputs!$B$61+(12-Inputs!$B$58)*Inputs!$B$60*Inputs!$B$62)/(Inputs!$B$58*Inputs!$B$61+(12-Inputs!$B$58)*Inputs!$B$62)*AM25)</f>
        <v>1275.6441689082</v>
      </c>
      <c r="AN26" s="19" t="n">
        <f aca="false">IF((2062-Inputs!$B$53-Inputs!$B$9)&lt;0,0,(Inputs!$B$58*Inputs!$B$59*Inputs!$B$61+(12-Inputs!$B$58)*Inputs!$B$60*Inputs!$B$62)/(Inputs!$B$58*Inputs!$B$61+(12-Inputs!$B$58)*Inputs!$B$62)*AN25)</f>
        <v>1303.83590504107</v>
      </c>
      <c r="AO26" s="19" t="n">
        <f aca="false">IF((2063-Inputs!$B$53-Inputs!$B$9)&lt;0,0,(Inputs!$B$58*Inputs!$B$59*Inputs!$B$61+(12-Inputs!$B$58)*Inputs!$B$60*Inputs!$B$62)/(Inputs!$B$58*Inputs!$B$61+(12-Inputs!$B$58)*Inputs!$B$62)*AO25)</f>
        <v>1332.65067854248</v>
      </c>
      <c r="AP26" s="19" t="n">
        <f aca="false">IF((2064-Inputs!$B$53-Inputs!$B$9)&lt;0,0,(Inputs!$B$58*Inputs!$B$59*Inputs!$B$61+(12-Inputs!$B$58)*Inputs!$B$60*Inputs!$B$62)/(Inputs!$B$58*Inputs!$B$61+(12-Inputs!$B$58)*Inputs!$B$62)*AP25)</f>
        <v>1362.10225853826</v>
      </c>
      <c r="AQ26" s="19" t="n">
        <f aca="false">IF((2065-Inputs!$B$53-Inputs!$B$9)&lt;0,0,(Inputs!$B$58*Inputs!$B$59*Inputs!$B$61+(12-Inputs!$B$58)*Inputs!$B$60*Inputs!$B$62)/(Inputs!$B$58*Inputs!$B$61+(12-Inputs!$B$58)*Inputs!$B$62)*AQ25)</f>
        <v>1392.20471845196</v>
      </c>
      <c r="AR26" s="19" t="n">
        <f aca="false">IF((2066-Inputs!$B$53-Inputs!$B$9)&lt;0,0,(Inputs!$B$58*Inputs!$B$59*Inputs!$B$61+(12-Inputs!$B$58)*Inputs!$B$60*Inputs!$B$62)/(Inputs!$B$58*Inputs!$B$61+(12-Inputs!$B$58)*Inputs!$B$62)*AR25)</f>
        <v>1422.97244272975</v>
      </c>
      <c r="AS26" s="19" t="n">
        <f aca="false">IF((2067-Inputs!$B$53-Inputs!$B$9)&lt;0,0,(Inputs!$B$58*Inputs!$B$59*Inputs!$B$61+(12-Inputs!$B$58)*Inputs!$B$60*Inputs!$B$62)/(Inputs!$B$58*Inputs!$B$61+(12-Inputs!$B$58)*Inputs!$B$62)*AS25)</f>
        <v>1454.42013371408</v>
      </c>
      <c r="AT26" s="19" t="n">
        <f aca="false">IF((2068-Inputs!$B$53-Inputs!$B$9)&lt;0,0,(Inputs!$B$58*Inputs!$B$59*Inputs!$B$61+(12-Inputs!$B$58)*Inputs!$B$60*Inputs!$B$62)/(Inputs!$B$58*Inputs!$B$61+(12-Inputs!$B$58)*Inputs!$B$62)*AT25)</f>
        <v>1486.56281866916</v>
      </c>
      <c r="AU26" s="19" t="n">
        <f aca="false">IF((2069-Inputs!$B$53-Inputs!$B$9)&lt;0,0,(Inputs!$B$58*Inputs!$B$59*Inputs!$B$61+(12-Inputs!$B$58)*Inputs!$B$60*Inputs!$B$62)/(Inputs!$B$58*Inputs!$B$61+(12-Inputs!$B$58)*Inputs!$B$62)*AU25)</f>
        <v>1519.41585696175</v>
      </c>
      <c r="AV26" s="19" t="n">
        <f aca="false">IF((2070-Inputs!$B$53-Inputs!$B$9)&lt;0,0,(Inputs!$B$58*Inputs!$B$59*Inputs!$B$61+(12-Inputs!$B$58)*Inputs!$B$60*Inputs!$B$62)/(Inputs!$B$58*Inputs!$B$61+(12-Inputs!$B$58)*Inputs!$B$62)*AV25)</f>
        <v>1552.9949474006</v>
      </c>
      <c r="AW26" s="19" t="n">
        <f aca="false">IF((2071-Inputs!$B$53-Inputs!$B$9)&lt;0,0,(Inputs!$B$58*Inputs!$B$59*Inputs!$B$61+(12-Inputs!$B$58)*Inputs!$B$60*Inputs!$B$62)/(Inputs!$B$58*Inputs!$B$61+(12-Inputs!$B$58)*Inputs!$B$62)*AW25)</f>
        <v>1587.31613573815</v>
      </c>
      <c r="AX26" s="19" t="n">
        <f aca="false">IF((2072-Inputs!$B$53-Inputs!$B$9)&lt;0,0,(Inputs!$B$58*Inputs!$B$59*Inputs!$B$61+(12-Inputs!$B$58)*Inputs!$B$60*Inputs!$B$62)/(Inputs!$B$58*Inputs!$B$61+(12-Inputs!$B$58)*Inputs!$B$62)*AX25)</f>
        <v>1622.39582233797</v>
      </c>
      <c r="AY26" s="19" t="n">
        <f aca="false">IF((2073-Inputs!$B$53-Inputs!$B$9)&lt;0,0,(Inputs!$B$58*Inputs!$B$59*Inputs!$B$61+(12-Inputs!$B$58)*Inputs!$B$60*Inputs!$B$62)/(Inputs!$B$58*Inputs!$B$61+(12-Inputs!$B$58)*Inputs!$B$62)*AY25)</f>
        <v>1658.25077001164</v>
      </c>
      <c r="AZ26" s="19" t="n">
        <f aca="false">IF((2074-Inputs!$B$53-Inputs!$B$9)&lt;0,0,(Inputs!$B$58*Inputs!$B$59*Inputs!$B$61+(12-Inputs!$B$58)*Inputs!$B$60*Inputs!$B$62)/(Inputs!$B$58*Inputs!$B$61+(12-Inputs!$B$58)*Inputs!$B$62)*AZ25)</f>
        <v>1694.89811202889</v>
      </c>
    </row>
    <row r="27" customFormat="false" ht="15" hidden="false" customHeight="true" outlineLevel="0" collapsed="false">
      <c r="A27" s="13" t="s">
        <v>595</v>
      </c>
      <c r="D27" s="50" t="n">
        <f aca="false">IF((2026-Inputs!$B$53-Inputs!$B$9)&lt;0,0,(Inputs!$B$58*Inputs!$B$61+(12-Inputs!$B$58)*Inputs!$B$62)/12*IF((2026-Inputs!$B$53-Inputs!$B$9)=0,Inputs!$B$65,IF((2026-Inputs!$B$53-Inputs!$B$9)=1,Inputs!$B$66,1)))</f>
        <v>0</v>
      </c>
      <c r="E27" s="50" t="n">
        <f aca="false">IF((2027-Inputs!$B$53-Inputs!$B$9)&lt;0,0,(Inputs!$B$58*Inputs!$B$61+(12-Inputs!$B$58)*Inputs!$B$62)/12*IF((2027-Inputs!$B$53-Inputs!$B$9)=0,Inputs!$B$65,IF((2027-Inputs!$B$53-Inputs!$B$9)=1,Inputs!$B$66,1)))</f>
        <v>0</v>
      </c>
      <c r="F27" s="50" t="n">
        <f aca="false">IF((2028-Inputs!$B$53-Inputs!$B$9)&lt;0,0,(Inputs!$B$58*Inputs!$B$61+(12-Inputs!$B$58)*Inputs!$B$62)/12*IF((2028-Inputs!$B$53-Inputs!$B$9)=0,Inputs!$B$65,IF((2028-Inputs!$B$53-Inputs!$B$9)=1,Inputs!$B$66,1)))</f>
        <v>0</v>
      </c>
      <c r="G27" s="50" t="n">
        <f aca="false">IF((2029-Inputs!$B$53-Inputs!$B$9)&lt;0,0,(Inputs!$B$58*Inputs!$B$61+(12-Inputs!$B$58)*Inputs!$B$62)/12*IF((2029-Inputs!$B$53-Inputs!$B$9)=0,Inputs!$B$65,IF((2029-Inputs!$B$53-Inputs!$B$9)=1,Inputs!$B$66,1)))</f>
        <v>0.558083333333333</v>
      </c>
      <c r="H27" s="50" t="n">
        <f aca="false">IF((2030-Inputs!$B$53-Inputs!$B$9)&lt;0,0,(Inputs!$B$58*Inputs!$B$61+(12-Inputs!$B$58)*Inputs!$B$62)/12*IF((2030-Inputs!$B$53-Inputs!$B$9)=0,Inputs!$B$65,IF((2030-Inputs!$B$53-Inputs!$B$9)=1,Inputs!$B$66,1)))</f>
        <v>0.587066666666667</v>
      </c>
      <c r="I27" s="50" t="n">
        <f aca="false">IF((2031-Inputs!$B$53-Inputs!$B$9)&lt;0,0,(Inputs!$B$58*Inputs!$B$61+(12-Inputs!$B$58)*Inputs!$B$62)/12*IF((2031-Inputs!$B$53-Inputs!$B$9)=0,Inputs!$B$65,IF((2031-Inputs!$B$53-Inputs!$B$9)=1,Inputs!$B$66,1)))</f>
        <v>0.616666666666667</v>
      </c>
      <c r="J27" s="50" t="n">
        <f aca="false">IF((2032-Inputs!$B$53-Inputs!$B$9)&lt;0,0,(Inputs!$B$58*Inputs!$B$61+(12-Inputs!$B$58)*Inputs!$B$62)/12*IF((2032-Inputs!$B$53-Inputs!$B$9)=0,Inputs!$B$65,IF((2032-Inputs!$B$53-Inputs!$B$9)=1,Inputs!$B$66,1)))</f>
        <v>0.616666666666667</v>
      </c>
      <c r="K27" s="50" t="n">
        <f aca="false">IF((2033-Inputs!$B$53-Inputs!$B$9)&lt;0,0,(Inputs!$B$58*Inputs!$B$61+(12-Inputs!$B$58)*Inputs!$B$62)/12*IF((2033-Inputs!$B$53-Inputs!$B$9)=0,Inputs!$B$65,IF((2033-Inputs!$B$53-Inputs!$B$9)=1,Inputs!$B$66,1)))</f>
        <v>0.616666666666667</v>
      </c>
      <c r="L27" s="50" t="n">
        <f aca="false">IF((2034-Inputs!$B$53-Inputs!$B$9)&lt;0,0,(Inputs!$B$58*Inputs!$B$61+(12-Inputs!$B$58)*Inputs!$B$62)/12*IF((2034-Inputs!$B$53-Inputs!$B$9)=0,Inputs!$B$65,IF((2034-Inputs!$B$53-Inputs!$B$9)=1,Inputs!$B$66,1)))</f>
        <v>0.616666666666667</v>
      </c>
      <c r="M27" s="50" t="n">
        <f aca="false">IF((2035-Inputs!$B$53-Inputs!$B$9)&lt;0,0,(Inputs!$B$58*Inputs!$B$61+(12-Inputs!$B$58)*Inputs!$B$62)/12*IF((2035-Inputs!$B$53-Inputs!$B$9)=0,Inputs!$B$65,IF((2035-Inputs!$B$53-Inputs!$B$9)=1,Inputs!$B$66,1)))</f>
        <v>0.616666666666667</v>
      </c>
      <c r="N27" s="50" t="n">
        <f aca="false">IF((2036-Inputs!$B$53-Inputs!$B$9)&lt;0,0,(Inputs!$B$58*Inputs!$B$61+(12-Inputs!$B$58)*Inputs!$B$62)/12*IF((2036-Inputs!$B$53-Inputs!$B$9)=0,Inputs!$B$65,IF((2036-Inputs!$B$53-Inputs!$B$9)=1,Inputs!$B$66,1)))</f>
        <v>0.616666666666667</v>
      </c>
      <c r="O27" s="50" t="n">
        <f aca="false">IF((2037-Inputs!$B$53-Inputs!$B$9)&lt;0,0,(Inputs!$B$58*Inputs!$B$61+(12-Inputs!$B$58)*Inputs!$B$62)/12*IF((2037-Inputs!$B$53-Inputs!$B$9)=0,Inputs!$B$65,IF((2037-Inputs!$B$53-Inputs!$B$9)=1,Inputs!$B$66,1)))</f>
        <v>0.616666666666667</v>
      </c>
      <c r="P27" s="50" t="n">
        <f aca="false">IF((2038-Inputs!$B$53-Inputs!$B$9)&lt;0,0,(Inputs!$B$58*Inputs!$B$61+(12-Inputs!$B$58)*Inputs!$B$62)/12*IF((2038-Inputs!$B$53-Inputs!$B$9)=0,Inputs!$B$65,IF((2038-Inputs!$B$53-Inputs!$B$9)=1,Inputs!$B$66,1)))</f>
        <v>0.616666666666667</v>
      </c>
      <c r="Q27" s="50" t="n">
        <f aca="false">IF((2039-Inputs!$B$53-Inputs!$B$9)&lt;0,0,(Inputs!$B$58*Inputs!$B$61+(12-Inputs!$B$58)*Inputs!$B$62)/12*IF((2039-Inputs!$B$53-Inputs!$B$9)=0,Inputs!$B$65,IF((2039-Inputs!$B$53-Inputs!$B$9)=1,Inputs!$B$66,1)))</f>
        <v>0.616666666666667</v>
      </c>
      <c r="R27" s="50" t="n">
        <f aca="false">IF((2040-Inputs!$B$53-Inputs!$B$9)&lt;0,0,(Inputs!$B$58*Inputs!$B$61+(12-Inputs!$B$58)*Inputs!$B$62)/12*IF((2040-Inputs!$B$53-Inputs!$B$9)=0,Inputs!$B$65,IF((2040-Inputs!$B$53-Inputs!$B$9)=1,Inputs!$B$66,1)))</f>
        <v>0.616666666666667</v>
      </c>
      <c r="S27" s="50" t="n">
        <f aca="false">IF((2041-Inputs!$B$53-Inputs!$B$9)&lt;0,0,(Inputs!$B$58*Inputs!$B$61+(12-Inputs!$B$58)*Inputs!$B$62)/12*IF((2041-Inputs!$B$53-Inputs!$B$9)=0,Inputs!$B$65,IF((2041-Inputs!$B$53-Inputs!$B$9)=1,Inputs!$B$66,1)))</f>
        <v>0.616666666666667</v>
      </c>
      <c r="T27" s="50" t="n">
        <f aca="false">IF((2042-Inputs!$B$53-Inputs!$B$9)&lt;0,0,(Inputs!$B$58*Inputs!$B$61+(12-Inputs!$B$58)*Inputs!$B$62)/12*IF((2042-Inputs!$B$53-Inputs!$B$9)=0,Inputs!$B$65,IF((2042-Inputs!$B$53-Inputs!$B$9)=1,Inputs!$B$66,1)))</f>
        <v>0.616666666666667</v>
      </c>
      <c r="U27" s="50" t="n">
        <f aca="false">IF((2043-Inputs!$B$53-Inputs!$B$9)&lt;0,0,(Inputs!$B$58*Inputs!$B$61+(12-Inputs!$B$58)*Inputs!$B$62)/12*IF((2043-Inputs!$B$53-Inputs!$B$9)=0,Inputs!$B$65,IF((2043-Inputs!$B$53-Inputs!$B$9)=1,Inputs!$B$66,1)))</f>
        <v>0.616666666666667</v>
      </c>
      <c r="V27" s="50" t="n">
        <f aca="false">IF((2044-Inputs!$B$53-Inputs!$B$9)&lt;0,0,(Inputs!$B$58*Inputs!$B$61+(12-Inputs!$B$58)*Inputs!$B$62)/12*IF((2044-Inputs!$B$53-Inputs!$B$9)=0,Inputs!$B$65,IF((2044-Inputs!$B$53-Inputs!$B$9)=1,Inputs!$B$66,1)))</f>
        <v>0.616666666666667</v>
      </c>
      <c r="W27" s="50" t="n">
        <f aca="false">IF((2045-Inputs!$B$53-Inputs!$B$9)&lt;0,0,(Inputs!$B$58*Inputs!$B$61+(12-Inputs!$B$58)*Inputs!$B$62)/12*IF((2045-Inputs!$B$53-Inputs!$B$9)=0,Inputs!$B$65,IF((2045-Inputs!$B$53-Inputs!$B$9)=1,Inputs!$B$66,1)))</f>
        <v>0.616666666666667</v>
      </c>
      <c r="X27" s="50" t="n">
        <f aca="false">IF((2046-Inputs!$B$53-Inputs!$B$9)&lt;0,0,(Inputs!$B$58*Inputs!$B$61+(12-Inputs!$B$58)*Inputs!$B$62)/12*IF((2046-Inputs!$B$53-Inputs!$B$9)=0,Inputs!$B$65,IF((2046-Inputs!$B$53-Inputs!$B$9)=1,Inputs!$B$66,1)))</f>
        <v>0.616666666666667</v>
      </c>
      <c r="Y27" s="50" t="n">
        <f aca="false">IF((2047-Inputs!$B$53-Inputs!$B$9)&lt;0,0,(Inputs!$B$58*Inputs!$B$61+(12-Inputs!$B$58)*Inputs!$B$62)/12*IF((2047-Inputs!$B$53-Inputs!$B$9)=0,Inputs!$B$65,IF((2047-Inputs!$B$53-Inputs!$B$9)=1,Inputs!$B$66,1)))</f>
        <v>0.616666666666667</v>
      </c>
      <c r="Z27" s="50" t="n">
        <f aca="false">IF((2048-Inputs!$B$53-Inputs!$B$9)&lt;0,0,(Inputs!$B$58*Inputs!$B$61+(12-Inputs!$B$58)*Inputs!$B$62)/12*IF((2048-Inputs!$B$53-Inputs!$B$9)=0,Inputs!$B$65,IF((2048-Inputs!$B$53-Inputs!$B$9)=1,Inputs!$B$66,1)))</f>
        <v>0.616666666666667</v>
      </c>
      <c r="AA27" s="50" t="n">
        <f aca="false">IF((2049-Inputs!$B$53-Inputs!$B$9)&lt;0,0,(Inputs!$B$58*Inputs!$B$61+(12-Inputs!$B$58)*Inputs!$B$62)/12*IF((2049-Inputs!$B$53-Inputs!$B$9)=0,Inputs!$B$65,IF((2049-Inputs!$B$53-Inputs!$B$9)=1,Inputs!$B$66,1)))</f>
        <v>0.616666666666667</v>
      </c>
      <c r="AB27" s="50" t="n">
        <f aca="false">IF((2050-Inputs!$B$53-Inputs!$B$9)&lt;0,0,(Inputs!$B$58*Inputs!$B$61+(12-Inputs!$B$58)*Inputs!$B$62)/12*IF((2050-Inputs!$B$53-Inputs!$B$9)=0,Inputs!$B$65,IF((2050-Inputs!$B$53-Inputs!$B$9)=1,Inputs!$B$66,1)))</f>
        <v>0.616666666666667</v>
      </c>
      <c r="AC27" s="50" t="n">
        <f aca="false">IF((2051-Inputs!$B$53-Inputs!$B$9)&lt;0,0,(Inputs!$B$58*Inputs!$B$61+(12-Inputs!$B$58)*Inputs!$B$62)/12*IF((2051-Inputs!$B$53-Inputs!$B$9)=0,Inputs!$B$65,IF((2051-Inputs!$B$53-Inputs!$B$9)=1,Inputs!$B$66,1)))</f>
        <v>0.616666666666667</v>
      </c>
      <c r="AD27" s="50" t="n">
        <f aca="false">IF((2052-Inputs!$B$53-Inputs!$B$9)&lt;0,0,(Inputs!$B$58*Inputs!$B$61+(12-Inputs!$B$58)*Inputs!$B$62)/12*IF((2052-Inputs!$B$53-Inputs!$B$9)=0,Inputs!$B$65,IF((2052-Inputs!$B$53-Inputs!$B$9)=1,Inputs!$B$66,1)))</f>
        <v>0.616666666666667</v>
      </c>
      <c r="AE27" s="50" t="n">
        <f aca="false">IF((2053-Inputs!$B$53-Inputs!$B$9)&lt;0,0,(Inputs!$B$58*Inputs!$B$61+(12-Inputs!$B$58)*Inputs!$B$62)/12*IF((2053-Inputs!$B$53-Inputs!$B$9)=0,Inputs!$B$65,IF((2053-Inputs!$B$53-Inputs!$B$9)=1,Inputs!$B$66,1)))</f>
        <v>0.616666666666667</v>
      </c>
      <c r="AF27" s="50" t="n">
        <f aca="false">IF((2054-Inputs!$B$53-Inputs!$B$9)&lt;0,0,(Inputs!$B$58*Inputs!$B$61+(12-Inputs!$B$58)*Inputs!$B$62)/12*IF((2054-Inputs!$B$53-Inputs!$B$9)=0,Inputs!$B$65,IF((2054-Inputs!$B$53-Inputs!$B$9)=1,Inputs!$B$66,1)))</f>
        <v>0.616666666666667</v>
      </c>
      <c r="AG27" s="50" t="n">
        <f aca="false">IF((2055-Inputs!$B$53-Inputs!$B$9)&lt;0,0,(Inputs!$B$58*Inputs!$B$61+(12-Inputs!$B$58)*Inputs!$B$62)/12*IF((2055-Inputs!$B$53-Inputs!$B$9)=0,Inputs!$B$65,IF((2055-Inputs!$B$53-Inputs!$B$9)=1,Inputs!$B$66,1)))</f>
        <v>0.616666666666667</v>
      </c>
      <c r="AH27" s="50" t="n">
        <f aca="false">IF((2056-Inputs!$B$53-Inputs!$B$9)&lt;0,0,(Inputs!$B$58*Inputs!$B$61+(12-Inputs!$B$58)*Inputs!$B$62)/12*IF((2056-Inputs!$B$53-Inputs!$B$9)=0,Inputs!$B$65,IF((2056-Inputs!$B$53-Inputs!$B$9)=1,Inputs!$B$66,1)))</f>
        <v>0.616666666666667</v>
      </c>
      <c r="AI27" s="50" t="n">
        <f aca="false">IF((2057-Inputs!$B$53-Inputs!$B$9)&lt;0,0,(Inputs!$B$58*Inputs!$B$61+(12-Inputs!$B$58)*Inputs!$B$62)/12*IF((2057-Inputs!$B$53-Inputs!$B$9)=0,Inputs!$B$65,IF((2057-Inputs!$B$53-Inputs!$B$9)=1,Inputs!$B$66,1)))</f>
        <v>0.616666666666667</v>
      </c>
      <c r="AJ27" s="50" t="n">
        <f aca="false">IF((2058-Inputs!$B$53-Inputs!$B$9)&lt;0,0,(Inputs!$B$58*Inputs!$B$61+(12-Inputs!$B$58)*Inputs!$B$62)/12*IF((2058-Inputs!$B$53-Inputs!$B$9)=0,Inputs!$B$65,IF((2058-Inputs!$B$53-Inputs!$B$9)=1,Inputs!$B$66,1)))</f>
        <v>0.616666666666667</v>
      </c>
      <c r="AK27" s="50" t="n">
        <f aca="false">IF((2059-Inputs!$B$53-Inputs!$B$9)&lt;0,0,(Inputs!$B$58*Inputs!$B$61+(12-Inputs!$B$58)*Inputs!$B$62)/12*IF((2059-Inputs!$B$53-Inputs!$B$9)=0,Inputs!$B$65,IF((2059-Inputs!$B$53-Inputs!$B$9)=1,Inputs!$B$66,1)))</f>
        <v>0.616666666666667</v>
      </c>
      <c r="AL27" s="50" t="n">
        <f aca="false">IF((2060-Inputs!$B$53-Inputs!$B$9)&lt;0,0,(Inputs!$B$58*Inputs!$B$61+(12-Inputs!$B$58)*Inputs!$B$62)/12*IF((2060-Inputs!$B$53-Inputs!$B$9)=0,Inputs!$B$65,IF((2060-Inputs!$B$53-Inputs!$B$9)=1,Inputs!$B$66,1)))</f>
        <v>0.616666666666667</v>
      </c>
      <c r="AM27" s="50" t="n">
        <f aca="false">IF((2061-Inputs!$B$53-Inputs!$B$9)&lt;0,0,(Inputs!$B$58*Inputs!$B$61+(12-Inputs!$B$58)*Inputs!$B$62)/12*IF((2061-Inputs!$B$53-Inputs!$B$9)=0,Inputs!$B$65,IF((2061-Inputs!$B$53-Inputs!$B$9)=1,Inputs!$B$66,1)))</f>
        <v>0.616666666666667</v>
      </c>
      <c r="AN27" s="50" t="n">
        <f aca="false">IF((2062-Inputs!$B$53-Inputs!$B$9)&lt;0,0,(Inputs!$B$58*Inputs!$B$61+(12-Inputs!$B$58)*Inputs!$B$62)/12*IF((2062-Inputs!$B$53-Inputs!$B$9)=0,Inputs!$B$65,IF((2062-Inputs!$B$53-Inputs!$B$9)=1,Inputs!$B$66,1)))</f>
        <v>0.616666666666667</v>
      </c>
      <c r="AO27" s="50" t="n">
        <f aca="false">IF((2063-Inputs!$B$53-Inputs!$B$9)&lt;0,0,(Inputs!$B$58*Inputs!$B$61+(12-Inputs!$B$58)*Inputs!$B$62)/12*IF((2063-Inputs!$B$53-Inputs!$B$9)=0,Inputs!$B$65,IF((2063-Inputs!$B$53-Inputs!$B$9)=1,Inputs!$B$66,1)))</f>
        <v>0.616666666666667</v>
      </c>
      <c r="AP27" s="50" t="n">
        <f aca="false">IF((2064-Inputs!$B$53-Inputs!$B$9)&lt;0,0,(Inputs!$B$58*Inputs!$B$61+(12-Inputs!$B$58)*Inputs!$B$62)/12*IF((2064-Inputs!$B$53-Inputs!$B$9)=0,Inputs!$B$65,IF((2064-Inputs!$B$53-Inputs!$B$9)=1,Inputs!$B$66,1)))</f>
        <v>0.616666666666667</v>
      </c>
      <c r="AQ27" s="50" t="n">
        <f aca="false">IF((2065-Inputs!$B$53-Inputs!$B$9)&lt;0,0,(Inputs!$B$58*Inputs!$B$61+(12-Inputs!$B$58)*Inputs!$B$62)/12*IF((2065-Inputs!$B$53-Inputs!$B$9)=0,Inputs!$B$65,IF((2065-Inputs!$B$53-Inputs!$B$9)=1,Inputs!$B$66,1)))</f>
        <v>0.616666666666667</v>
      </c>
      <c r="AR27" s="50" t="n">
        <f aca="false">IF((2066-Inputs!$B$53-Inputs!$B$9)&lt;0,0,(Inputs!$B$58*Inputs!$B$61+(12-Inputs!$B$58)*Inputs!$B$62)/12*IF((2066-Inputs!$B$53-Inputs!$B$9)=0,Inputs!$B$65,IF((2066-Inputs!$B$53-Inputs!$B$9)=1,Inputs!$B$66,1)))</f>
        <v>0.616666666666667</v>
      </c>
      <c r="AS27" s="50" t="n">
        <f aca="false">IF((2067-Inputs!$B$53-Inputs!$B$9)&lt;0,0,(Inputs!$B$58*Inputs!$B$61+(12-Inputs!$B$58)*Inputs!$B$62)/12*IF((2067-Inputs!$B$53-Inputs!$B$9)=0,Inputs!$B$65,IF((2067-Inputs!$B$53-Inputs!$B$9)=1,Inputs!$B$66,1)))</f>
        <v>0.616666666666667</v>
      </c>
      <c r="AT27" s="50" t="n">
        <f aca="false">IF((2068-Inputs!$B$53-Inputs!$B$9)&lt;0,0,(Inputs!$B$58*Inputs!$B$61+(12-Inputs!$B$58)*Inputs!$B$62)/12*IF((2068-Inputs!$B$53-Inputs!$B$9)=0,Inputs!$B$65,IF((2068-Inputs!$B$53-Inputs!$B$9)=1,Inputs!$B$66,1)))</f>
        <v>0.616666666666667</v>
      </c>
      <c r="AU27" s="50" t="n">
        <f aca="false">IF((2069-Inputs!$B$53-Inputs!$B$9)&lt;0,0,(Inputs!$B$58*Inputs!$B$61+(12-Inputs!$B$58)*Inputs!$B$62)/12*IF((2069-Inputs!$B$53-Inputs!$B$9)=0,Inputs!$B$65,IF((2069-Inputs!$B$53-Inputs!$B$9)=1,Inputs!$B$66,1)))</f>
        <v>0.616666666666667</v>
      </c>
      <c r="AV27" s="50" t="n">
        <f aca="false">IF((2070-Inputs!$B$53-Inputs!$B$9)&lt;0,0,(Inputs!$B$58*Inputs!$B$61+(12-Inputs!$B$58)*Inputs!$B$62)/12*IF((2070-Inputs!$B$53-Inputs!$B$9)=0,Inputs!$B$65,IF((2070-Inputs!$B$53-Inputs!$B$9)=1,Inputs!$B$66,1)))</f>
        <v>0.616666666666667</v>
      </c>
      <c r="AW27" s="50" t="n">
        <f aca="false">IF((2071-Inputs!$B$53-Inputs!$B$9)&lt;0,0,(Inputs!$B$58*Inputs!$B$61+(12-Inputs!$B$58)*Inputs!$B$62)/12*IF((2071-Inputs!$B$53-Inputs!$B$9)=0,Inputs!$B$65,IF((2071-Inputs!$B$53-Inputs!$B$9)=1,Inputs!$B$66,1)))</f>
        <v>0.616666666666667</v>
      </c>
      <c r="AX27" s="50" t="n">
        <f aca="false">IF((2072-Inputs!$B$53-Inputs!$B$9)&lt;0,0,(Inputs!$B$58*Inputs!$B$61+(12-Inputs!$B$58)*Inputs!$B$62)/12*IF((2072-Inputs!$B$53-Inputs!$B$9)=0,Inputs!$B$65,IF((2072-Inputs!$B$53-Inputs!$B$9)=1,Inputs!$B$66,1)))</f>
        <v>0.616666666666667</v>
      </c>
      <c r="AY27" s="50" t="n">
        <f aca="false">IF((2073-Inputs!$B$53-Inputs!$B$9)&lt;0,0,(Inputs!$B$58*Inputs!$B$61+(12-Inputs!$B$58)*Inputs!$B$62)/12*IF((2073-Inputs!$B$53-Inputs!$B$9)=0,Inputs!$B$65,IF((2073-Inputs!$B$53-Inputs!$B$9)=1,Inputs!$B$66,1)))</f>
        <v>0.616666666666667</v>
      </c>
      <c r="AZ27" s="50" t="n">
        <f aca="false">IF((2074-Inputs!$B$53-Inputs!$B$9)&lt;0,0,(Inputs!$B$58*Inputs!$B$61+(12-Inputs!$B$58)*Inputs!$B$62)/12*IF((2074-Inputs!$B$53-Inputs!$B$9)=0,Inputs!$B$65,IF((2074-Inputs!$B$53-Inputs!$B$9)=1,Inputs!$B$66,1)))</f>
        <v>0.616666666666667</v>
      </c>
    </row>
    <row r="28" customFormat="false" ht="15" hidden="false" customHeight="true" outlineLevel="0" collapsed="false">
      <c r="A28" s="13" t="s">
        <v>552</v>
      </c>
      <c r="D28" s="19" t="n">
        <f aca="false">D26*D27</f>
        <v>0</v>
      </c>
      <c r="E28" s="19" t="n">
        <f aca="false">E26*E27</f>
        <v>0</v>
      </c>
      <c r="F28" s="19" t="n">
        <f aca="false">F26*F27</f>
        <v>0</v>
      </c>
      <c r="G28" s="19" t="n">
        <f aca="false">G26*G27</f>
        <v>353.704166666667</v>
      </c>
      <c r="H28" s="19" t="n">
        <f aca="false">H26*H27</f>
        <v>380.296154</v>
      </c>
      <c r="I28" s="19" t="n">
        <f aca="false">I26*I27</f>
        <v>408.299053575</v>
      </c>
      <c r="J28" s="19" t="n">
        <f aca="false">J26*J27</f>
        <v>417.322462659008</v>
      </c>
      <c r="K28" s="19" t="n">
        <f aca="false">K26*K27</f>
        <v>426.545289083772</v>
      </c>
      <c r="L28" s="19" t="n">
        <f aca="false">L26*L27</f>
        <v>435.971939972523</v>
      </c>
      <c r="M28" s="19" t="n">
        <f aca="false">M26*M27</f>
        <v>445.606919845916</v>
      </c>
      <c r="N28" s="19" t="n">
        <f aca="false">N26*N27</f>
        <v>455.45483277451</v>
      </c>
      <c r="O28" s="19" t="n">
        <f aca="false">O26*O27</f>
        <v>465.520384578827</v>
      </c>
      <c r="P28" s="19" t="n">
        <f aca="false">P26*P27</f>
        <v>475.808385078019</v>
      </c>
      <c r="Q28" s="19" t="n">
        <f aca="false">Q26*Q27</f>
        <v>486.323750388243</v>
      </c>
      <c r="R28" s="19" t="n">
        <f aca="false">R26*R27</f>
        <v>497.071505271824</v>
      </c>
      <c r="S28" s="19" t="n">
        <f aca="false">S26*S27</f>
        <v>508.056785538331</v>
      </c>
      <c r="T28" s="19" t="n">
        <f aca="false">T26*T27</f>
        <v>519.284840498728</v>
      </c>
      <c r="U28" s="19" t="n">
        <f aca="false">U26*U27</f>
        <v>530.76103547375</v>
      </c>
      <c r="V28" s="19" t="n">
        <f aca="false">V26*V27</f>
        <v>542.49085435772</v>
      </c>
      <c r="W28" s="19" t="n">
        <f aca="false">W26*W27</f>
        <v>554.479902239026</v>
      </c>
      <c r="X28" s="19" t="n">
        <f aca="false">X26*X27</f>
        <v>566.733908078508</v>
      </c>
      <c r="Y28" s="19" t="n">
        <f aca="false">Y26*Y27</f>
        <v>579.258727447043</v>
      </c>
      <c r="Z28" s="19" t="n">
        <f aca="false">Z26*Z27</f>
        <v>592.060345323623</v>
      </c>
      <c r="AA28" s="19" t="n">
        <f aca="false">AA26*AA27</f>
        <v>605.144878955275</v>
      </c>
      <c r="AB28" s="19" t="n">
        <f aca="false">AB26*AB27</f>
        <v>618.518580780186</v>
      </c>
      <c r="AC28" s="19" t="n">
        <f aca="false">AC26*AC27</f>
        <v>632.187841415429</v>
      </c>
      <c r="AD28" s="19" t="n">
        <f aca="false">AD26*AD27</f>
        <v>646.159192710709</v>
      </c>
      <c r="AE28" s="19" t="n">
        <f aca="false">AE26*AE27</f>
        <v>660.439310869616</v>
      </c>
      <c r="AF28" s="19" t="n">
        <f aca="false">AF26*AF27</f>
        <v>675.035019639834</v>
      </c>
      <c r="AG28" s="19" t="n">
        <f aca="false">AG26*AG27</f>
        <v>689.953293573875</v>
      </c>
      <c r="AH28" s="19" t="n">
        <f aca="false">AH26*AH27</f>
        <v>705.201261361857</v>
      </c>
      <c r="AI28" s="19" t="n">
        <f aca="false">AI26*AI27</f>
        <v>720.786209237955</v>
      </c>
      <c r="AJ28" s="19" t="n">
        <f aca="false">AJ26*AJ27</f>
        <v>736.715584462113</v>
      </c>
      <c r="AK28" s="19" t="n">
        <f aca="false">AK26*AK27</f>
        <v>752.996998878726</v>
      </c>
      <c r="AL28" s="19" t="n">
        <f aca="false">AL26*AL27</f>
        <v>769.638232553946</v>
      </c>
      <c r="AM28" s="19" t="n">
        <f aca="false">AM26*AM27</f>
        <v>786.647237493388</v>
      </c>
      <c r="AN28" s="19" t="n">
        <f aca="false">AN26*AN27</f>
        <v>804.032141441992</v>
      </c>
      <c r="AO28" s="19" t="n">
        <f aca="false">AO26*AO27</f>
        <v>821.80125176786</v>
      </c>
      <c r="AP28" s="19" t="n">
        <f aca="false">AP26*AP27</f>
        <v>839.96305943193</v>
      </c>
      <c r="AQ28" s="19" t="n">
        <f aca="false">AQ26*AQ27</f>
        <v>858.526243045375</v>
      </c>
      <c r="AR28" s="19" t="n">
        <f aca="false">AR26*AR27</f>
        <v>877.499673016678</v>
      </c>
      <c r="AS28" s="19" t="n">
        <f aca="false">AS26*AS27</f>
        <v>896.892415790347</v>
      </c>
      <c r="AT28" s="19" t="n">
        <f aca="false">AT26*AT27</f>
        <v>916.713738179314</v>
      </c>
      <c r="AU28" s="19" t="n">
        <f aca="false">AU26*AU27</f>
        <v>936.973111793076</v>
      </c>
      <c r="AV28" s="19" t="n">
        <f aca="false">AV26*AV27</f>
        <v>957.680217563703</v>
      </c>
      <c r="AW28" s="19" t="n">
        <f aca="false">AW26*AW27</f>
        <v>978.844950371861</v>
      </c>
      <c r="AX28" s="19" t="n">
        <f aca="false">AX26*AX27</f>
        <v>1000.47742377508</v>
      </c>
      <c r="AY28" s="19" t="n">
        <f aca="false">AY26*AY27</f>
        <v>1022.58797484051</v>
      </c>
      <c r="AZ28" s="19" t="n">
        <f aca="false">AZ26*AZ27</f>
        <v>1045.18716908448</v>
      </c>
    </row>
    <row r="29" customFormat="false" ht="15" hidden="false" customHeight="true" outlineLevel="0" collapsed="false">
      <c r="A29" s="13" t="s">
        <v>403</v>
      </c>
      <c r="D29" s="49" t="n">
        <f aca="false">IF((2026-Inputs!$B$53-Inputs!$B$9)&lt;0,0,IF((2026-Inputs!$B$53-Inputs!$B$9)=0,Inputs!$B$54*Inputs!$B$65,IF((2026-Inputs!$B$53-Inputs!$B$9)=1,Inputs!$B$66,1)))</f>
        <v>0</v>
      </c>
      <c r="E29" s="49" t="n">
        <f aca="false">IF((2027-Inputs!$B$53-Inputs!$B$9)&lt;0,0,IF((2027-Inputs!$B$53-Inputs!$B$9)=0,Inputs!$B$54*Inputs!$B$65,IF((2027-Inputs!$B$53-Inputs!$B$9)=1,Inputs!$B$66,1)))</f>
        <v>0</v>
      </c>
      <c r="F29" s="49" t="n">
        <f aca="false">IF((2028-Inputs!$B$53-Inputs!$B$9)&lt;0,0,IF((2028-Inputs!$B$53-Inputs!$B$9)=0,Inputs!$B$54*Inputs!$B$65,IF((2028-Inputs!$B$53-Inputs!$B$9)=1,Inputs!$B$66,1)))</f>
        <v>0</v>
      </c>
      <c r="G29" s="49" t="n">
        <f aca="false">IF((2029-Inputs!$B$53-Inputs!$B$9)&lt;0,0,IF((2029-Inputs!$B$53-Inputs!$B$9)=0,Inputs!$B$54*Inputs!$B$65,IF((2029-Inputs!$B$53-Inputs!$B$9)=1,Inputs!$B$66,1)))</f>
        <v>0.4525</v>
      </c>
      <c r="H29" s="49" t="n">
        <f aca="false">IF((2030-Inputs!$B$53-Inputs!$B$9)&lt;0,0,IF((2030-Inputs!$B$53-Inputs!$B$9)=0,Inputs!$B$54*Inputs!$B$65,IF((2030-Inputs!$B$53-Inputs!$B$9)=1,Inputs!$B$66,1)))</f>
        <v>0.952</v>
      </c>
      <c r="I29" s="49" t="n">
        <f aca="false">IF((2031-Inputs!$B$53-Inputs!$B$9)&lt;0,0,IF((2031-Inputs!$B$53-Inputs!$B$9)=0,Inputs!$B$54*Inputs!$B$65,IF((2031-Inputs!$B$53-Inputs!$B$9)=1,Inputs!$B$66,1)))</f>
        <v>1</v>
      </c>
      <c r="J29" s="49" t="n">
        <f aca="false">IF((2032-Inputs!$B$53-Inputs!$B$9)&lt;0,0,IF((2032-Inputs!$B$53-Inputs!$B$9)=0,Inputs!$B$54*Inputs!$B$65,IF((2032-Inputs!$B$53-Inputs!$B$9)=1,Inputs!$B$66,1)))</f>
        <v>1</v>
      </c>
      <c r="K29" s="49" t="n">
        <f aca="false">IF((2033-Inputs!$B$53-Inputs!$B$9)&lt;0,0,IF((2033-Inputs!$B$53-Inputs!$B$9)=0,Inputs!$B$54*Inputs!$B$65,IF((2033-Inputs!$B$53-Inputs!$B$9)=1,Inputs!$B$66,1)))</f>
        <v>1</v>
      </c>
      <c r="L29" s="49" t="n">
        <f aca="false">IF((2034-Inputs!$B$53-Inputs!$B$9)&lt;0,0,IF((2034-Inputs!$B$53-Inputs!$B$9)=0,Inputs!$B$54*Inputs!$B$65,IF((2034-Inputs!$B$53-Inputs!$B$9)=1,Inputs!$B$66,1)))</f>
        <v>1</v>
      </c>
      <c r="M29" s="49" t="n">
        <f aca="false">IF((2035-Inputs!$B$53-Inputs!$B$9)&lt;0,0,IF((2035-Inputs!$B$53-Inputs!$B$9)=0,Inputs!$B$54*Inputs!$B$65,IF((2035-Inputs!$B$53-Inputs!$B$9)=1,Inputs!$B$66,1)))</f>
        <v>1</v>
      </c>
      <c r="N29" s="49" t="n">
        <f aca="false">IF((2036-Inputs!$B$53-Inputs!$B$9)&lt;0,0,IF((2036-Inputs!$B$53-Inputs!$B$9)=0,Inputs!$B$54*Inputs!$B$65,IF((2036-Inputs!$B$53-Inputs!$B$9)=1,Inputs!$B$66,1)))</f>
        <v>1</v>
      </c>
      <c r="O29" s="49" t="n">
        <f aca="false">IF((2037-Inputs!$B$53-Inputs!$B$9)&lt;0,0,IF((2037-Inputs!$B$53-Inputs!$B$9)=0,Inputs!$B$54*Inputs!$B$65,IF((2037-Inputs!$B$53-Inputs!$B$9)=1,Inputs!$B$66,1)))</f>
        <v>1</v>
      </c>
      <c r="P29" s="49" t="n">
        <f aca="false">IF((2038-Inputs!$B$53-Inputs!$B$9)&lt;0,0,IF((2038-Inputs!$B$53-Inputs!$B$9)=0,Inputs!$B$54*Inputs!$B$65,IF((2038-Inputs!$B$53-Inputs!$B$9)=1,Inputs!$B$66,1)))</f>
        <v>1</v>
      </c>
      <c r="Q29" s="49" t="n">
        <f aca="false">IF((2039-Inputs!$B$53-Inputs!$B$9)&lt;0,0,IF((2039-Inputs!$B$53-Inputs!$B$9)=0,Inputs!$B$54*Inputs!$B$65,IF((2039-Inputs!$B$53-Inputs!$B$9)=1,Inputs!$B$66,1)))</f>
        <v>1</v>
      </c>
      <c r="R29" s="49" t="n">
        <f aca="false">IF((2040-Inputs!$B$53-Inputs!$B$9)&lt;0,0,IF((2040-Inputs!$B$53-Inputs!$B$9)=0,Inputs!$B$54*Inputs!$B$65,IF((2040-Inputs!$B$53-Inputs!$B$9)=1,Inputs!$B$66,1)))</f>
        <v>1</v>
      </c>
      <c r="S29" s="49" t="n">
        <f aca="false">IF((2041-Inputs!$B$53-Inputs!$B$9)&lt;0,0,IF((2041-Inputs!$B$53-Inputs!$B$9)=0,Inputs!$B$54*Inputs!$B$65,IF((2041-Inputs!$B$53-Inputs!$B$9)=1,Inputs!$B$66,1)))</f>
        <v>1</v>
      </c>
      <c r="T29" s="49" t="n">
        <f aca="false">IF((2042-Inputs!$B$53-Inputs!$B$9)&lt;0,0,IF((2042-Inputs!$B$53-Inputs!$B$9)=0,Inputs!$B$54*Inputs!$B$65,IF((2042-Inputs!$B$53-Inputs!$B$9)=1,Inputs!$B$66,1)))</f>
        <v>1</v>
      </c>
      <c r="U29" s="49" t="n">
        <f aca="false">IF((2043-Inputs!$B$53-Inputs!$B$9)&lt;0,0,IF((2043-Inputs!$B$53-Inputs!$B$9)=0,Inputs!$B$54*Inputs!$B$65,IF((2043-Inputs!$B$53-Inputs!$B$9)=1,Inputs!$B$66,1)))</f>
        <v>1</v>
      </c>
      <c r="V29" s="49" t="n">
        <f aca="false">IF((2044-Inputs!$B$53-Inputs!$B$9)&lt;0,0,IF((2044-Inputs!$B$53-Inputs!$B$9)=0,Inputs!$B$54*Inputs!$B$65,IF((2044-Inputs!$B$53-Inputs!$B$9)=1,Inputs!$B$66,1)))</f>
        <v>1</v>
      </c>
      <c r="W29" s="49" t="n">
        <f aca="false">IF((2045-Inputs!$B$53-Inputs!$B$9)&lt;0,0,IF((2045-Inputs!$B$53-Inputs!$B$9)=0,Inputs!$B$54*Inputs!$B$65,IF((2045-Inputs!$B$53-Inputs!$B$9)=1,Inputs!$B$66,1)))</f>
        <v>1</v>
      </c>
      <c r="X29" s="49" t="n">
        <f aca="false">IF((2046-Inputs!$B$53-Inputs!$B$9)&lt;0,0,IF((2046-Inputs!$B$53-Inputs!$B$9)=0,Inputs!$B$54*Inputs!$B$65,IF((2046-Inputs!$B$53-Inputs!$B$9)=1,Inputs!$B$66,1)))</f>
        <v>1</v>
      </c>
      <c r="Y29" s="49" t="n">
        <f aca="false">IF((2047-Inputs!$B$53-Inputs!$B$9)&lt;0,0,IF((2047-Inputs!$B$53-Inputs!$B$9)=0,Inputs!$B$54*Inputs!$B$65,IF((2047-Inputs!$B$53-Inputs!$B$9)=1,Inputs!$B$66,1)))</f>
        <v>1</v>
      </c>
      <c r="Z29" s="49" t="n">
        <f aca="false">IF((2048-Inputs!$B$53-Inputs!$B$9)&lt;0,0,IF((2048-Inputs!$B$53-Inputs!$B$9)=0,Inputs!$B$54*Inputs!$B$65,IF((2048-Inputs!$B$53-Inputs!$B$9)=1,Inputs!$B$66,1)))</f>
        <v>1</v>
      </c>
      <c r="AA29" s="49" t="n">
        <f aca="false">IF((2049-Inputs!$B$53-Inputs!$B$9)&lt;0,0,IF((2049-Inputs!$B$53-Inputs!$B$9)=0,Inputs!$B$54*Inputs!$B$65,IF((2049-Inputs!$B$53-Inputs!$B$9)=1,Inputs!$B$66,1)))</f>
        <v>1</v>
      </c>
      <c r="AB29" s="49" t="n">
        <f aca="false">IF((2050-Inputs!$B$53-Inputs!$B$9)&lt;0,0,IF((2050-Inputs!$B$53-Inputs!$B$9)=0,Inputs!$B$54*Inputs!$B$65,IF((2050-Inputs!$B$53-Inputs!$B$9)=1,Inputs!$B$66,1)))</f>
        <v>1</v>
      </c>
      <c r="AC29" s="49" t="n">
        <f aca="false">IF((2051-Inputs!$B$53-Inputs!$B$9)&lt;0,0,IF((2051-Inputs!$B$53-Inputs!$B$9)=0,Inputs!$B$54*Inputs!$B$65,IF((2051-Inputs!$B$53-Inputs!$B$9)=1,Inputs!$B$66,1)))</f>
        <v>1</v>
      </c>
      <c r="AD29" s="49" t="n">
        <f aca="false">IF((2052-Inputs!$B$53-Inputs!$B$9)&lt;0,0,IF((2052-Inputs!$B$53-Inputs!$B$9)=0,Inputs!$B$54*Inputs!$B$65,IF((2052-Inputs!$B$53-Inputs!$B$9)=1,Inputs!$B$66,1)))</f>
        <v>1</v>
      </c>
      <c r="AE29" s="49" t="n">
        <f aca="false">IF((2053-Inputs!$B$53-Inputs!$B$9)&lt;0,0,IF((2053-Inputs!$B$53-Inputs!$B$9)=0,Inputs!$B$54*Inputs!$B$65,IF((2053-Inputs!$B$53-Inputs!$B$9)=1,Inputs!$B$66,1)))</f>
        <v>1</v>
      </c>
      <c r="AF29" s="49" t="n">
        <f aca="false">IF((2054-Inputs!$B$53-Inputs!$B$9)&lt;0,0,IF((2054-Inputs!$B$53-Inputs!$B$9)=0,Inputs!$B$54*Inputs!$B$65,IF((2054-Inputs!$B$53-Inputs!$B$9)=1,Inputs!$B$66,1)))</f>
        <v>1</v>
      </c>
      <c r="AG29" s="49" t="n">
        <f aca="false">IF((2055-Inputs!$B$53-Inputs!$B$9)&lt;0,0,IF((2055-Inputs!$B$53-Inputs!$B$9)=0,Inputs!$B$54*Inputs!$B$65,IF((2055-Inputs!$B$53-Inputs!$B$9)=1,Inputs!$B$66,1)))</f>
        <v>1</v>
      </c>
      <c r="AH29" s="49" t="n">
        <f aca="false">IF((2056-Inputs!$B$53-Inputs!$B$9)&lt;0,0,IF((2056-Inputs!$B$53-Inputs!$B$9)=0,Inputs!$B$54*Inputs!$B$65,IF((2056-Inputs!$B$53-Inputs!$B$9)=1,Inputs!$B$66,1)))</f>
        <v>1</v>
      </c>
      <c r="AI29" s="49" t="n">
        <f aca="false">IF((2057-Inputs!$B$53-Inputs!$B$9)&lt;0,0,IF((2057-Inputs!$B$53-Inputs!$B$9)=0,Inputs!$B$54*Inputs!$B$65,IF((2057-Inputs!$B$53-Inputs!$B$9)=1,Inputs!$B$66,1)))</f>
        <v>1</v>
      </c>
      <c r="AJ29" s="49" t="n">
        <f aca="false">IF((2058-Inputs!$B$53-Inputs!$B$9)&lt;0,0,IF((2058-Inputs!$B$53-Inputs!$B$9)=0,Inputs!$B$54*Inputs!$B$65,IF((2058-Inputs!$B$53-Inputs!$B$9)=1,Inputs!$B$66,1)))</f>
        <v>1</v>
      </c>
      <c r="AK29" s="49" t="n">
        <f aca="false">IF((2059-Inputs!$B$53-Inputs!$B$9)&lt;0,0,IF((2059-Inputs!$B$53-Inputs!$B$9)=0,Inputs!$B$54*Inputs!$B$65,IF((2059-Inputs!$B$53-Inputs!$B$9)=1,Inputs!$B$66,1)))</f>
        <v>1</v>
      </c>
      <c r="AL29" s="49" t="n">
        <f aca="false">IF((2060-Inputs!$B$53-Inputs!$B$9)&lt;0,0,IF((2060-Inputs!$B$53-Inputs!$B$9)=0,Inputs!$B$54*Inputs!$B$65,IF((2060-Inputs!$B$53-Inputs!$B$9)=1,Inputs!$B$66,1)))</f>
        <v>1</v>
      </c>
      <c r="AM29" s="49" t="n">
        <f aca="false">IF((2061-Inputs!$B$53-Inputs!$B$9)&lt;0,0,IF((2061-Inputs!$B$53-Inputs!$B$9)=0,Inputs!$B$54*Inputs!$B$65,IF((2061-Inputs!$B$53-Inputs!$B$9)=1,Inputs!$B$66,1)))</f>
        <v>1</v>
      </c>
      <c r="AN29" s="49" t="n">
        <f aca="false">IF((2062-Inputs!$B$53-Inputs!$B$9)&lt;0,0,IF((2062-Inputs!$B$53-Inputs!$B$9)=0,Inputs!$B$54*Inputs!$B$65,IF((2062-Inputs!$B$53-Inputs!$B$9)=1,Inputs!$B$66,1)))</f>
        <v>1</v>
      </c>
      <c r="AO29" s="49" t="n">
        <f aca="false">IF((2063-Inputs!$B$53-Inputs!$B$9)&lt;0,0,IF((2063-Inputs!$B$53-Inputs!$B$9)=0,Inputs!$B$54*Inputs!$B$65,IF((2063-Inputs!$B$53-Inputs!$B$9)=1,Inputs!$B$66,1)))</f>
        <v>1</v>
      </c>
      <c r="AP29" s="49" t="n">
        <f aca="false">IF((2064-Inputs!$B$53-Inputs!$B$9)&lt;0,0,IF((2064-Inputs!$B$53-Inputs!$B$9)=0,Inputs!$B$54*Inputs!$B$65,IF((2064-Inputs!$B$53-Inputs!$B$9)=1,Inputs!$B$66,1)))</f>
        <v>1</v>
      </c>
      <c r="AQ29" s="49" t="n">
        <f aca="false">IF((2065-Inputs!$B$53-Inputs!$B$9)&lt;0,0,IF((2065-Inputs!$B$53-Inputs!$B$9)=0,Inputs!$B$54*Inputs!$B$65,IF((2065-Inputs!$B$53-Inputs!$B$9)=1,Inputs!$B$66,1)))</f>
        <v>1</v>
      </c>
      <c r="AR29" s="49" t="n">
        <f aca="false">IF((2066-Inputs!$B$53-Inputs!$B$9)&lt;0,0,IF((2066-Inputs!$B$53-Inputs!$B$9)=0,Inputs!$B$54*Inputs!$B$65,IF((2066-Inputs!$B$53-Inputs!$B$9)=1,Inputs!$B$66,1)))</f>
        <v>1</v>
      </c>
      <c r="AS29" s="49" t="n">
        <f aca="false">IF((2067-Inputs!$B$53-Inputs!$B$9)&lt;0,0,IF((2067-Inputs!$B$53-Inputs!$B$9)=0,Inputs!$B$54*Inputs!$B$65,IF((2067-Inputs!$B$53-Inputs!$B$9)=1,Inputs!$B$66,1)))</f>
        <v>1</v>
      </c>
      <c r="AT29" s="49" t="n">
        <f aca="false">IF((2068-Inputs!$B$53-Inputs!$B$9)&lt;0,0,IF((2068-Inputs!$B$53-Inputs!$B$9)=0,Inputs!$B$54*Inputs!$B$65,IF((2068-Inputs!$B$53-Inputs!$B$9)=1,Inputs!$B$66,1)))</f>
        <v>1</v>
      </c>
      <c r="AU29" s="49" t="n">
        <f aca="false">IF((2069-Inputs!$B$53-Inputs!$B$9)&lt;0,0,IF((2069-Inputs!$B$53-Inputs!$B$9)=0,Inputs!$B$54*Inputs!$B$65,IF((2069-Inputs!$B$53-Inputs!$B$9)=1,Inputs!$B$66,1)))</f>
        <v>1</v>
      </c>
      <c r="AV29" s="49" t="n">
        <f aca="false">IF((2070-Inputs!$B$53-Inputs!$B$9)&lt;0,0,IF((2070-Inputs!$B$53-Inputs!$B$9)=0,Inputs!$B$54*Inputs!$B$65,IF((2070-Inputs!$B$53-Inputs!$B$9)=1,Inputs!$B$66,1)))</f>
        <v>1</v>
      </c>
      <c r="AW29" s="49" t="n">
        <f aca="false">IF((2071-Inputs!$B$53-Inputs!$B$9)&lt;0,0,IF((2071-Inputs!$B$53-Inputs!$B$9)=0,Inputs!$B$54*Inputs!$B$65,IF((2071-Inputs!$B$53-Inputs!$B$9)=1,Inputs!$B$66,1)))</f>
        <v>1</v>
      </c>
      <c r="AX29" s="49" t="n">
        <f aca="false">IF((2072-Inputs!$B$53-Inputs!$B$9)&lt;0,0,IF((2072-Inputs!$B$53-Inputs!$B$9)=0,Inputs!$B$54*Inputs!$B$65,IF((2072-Inputs!$B$53-Inputs!$B$9)=1,Inputs!$B$66,1)))</f>
        <v>1</v>
      </c>
      <c r="AY29" s="49" t="n">
        <f aca="false">IF((2073-Inputs!$B$53-Inputs!$B$9)&lt;0,0,IF((2073-Inputs!$B$53-Inputs!$B$9)=0,Inputs!$B$54*Inputs!$B$65,IF((2073-Inputs!$B$53-Inputs!$B$9)=1,Inputs!$B$66,1)))</f>
        <v>1</v>
      </c>
      <c r="AZ29" s="49" t="n">
        <f aca="false">IF((2074-Inputs!$B$53-Inputs!$B$9)&lt;0,0,IF((2074-Inputs!$B$53-Inputs!$B$9)=0,Inputs!$B$54*Inputs!$B$65,IF((2074-Inputs!$B$53-Inputs!$B$9)=1,Inputs!$B$66,1)))</f>
        <v>1</v>
      </c>
    </row>
    <row r="30" customFormat="false" ht="15" hidden="false" customHeight="true" outlineLevel="0" collapsed="false">
      <c r="A30" s="13" t="s">
        <v>402</v>
      </c>
      <c r="D30" s="41" t="n">
        <f aca="false">Inputs!$B$57*365/12*(Inputs!$B$58*Inputs!$B$59*Inputs!$B$61+(12-Inputs!$B$58)*Inputs!$B$60*Inputs!$B$62)/Inputs!$B$63/1000000</f>
        <v>102.628896882494</v>
      </c>
      <c r="E30" s="41" t="n">
        <f aca="false">Inputs!$B$57*365/12*(Inputs!$B$58*Inputs!$B$59*Inputs!$B$61+(12-Inputs!$B$58)*Inputs!$B$60*Inputs!$B$62)/Inputs!$B$63/1000000</f>
        <v>102.628896882494</v>
      </c>
      <c r="F30" s="41" t="n">
        <f aca="false">Inputs!$B$57*365/12*(Inputs!$B$58*Inputs!$B$59*Inputs!$B$61+(12-Inputs!$B$58)*Inputs!$B$60*Inputs!$B$62)/Inputs!$B$63/1000000</f>
        <v>102.628896882494</v>
      </c>
      <c r="G30" s="41" t="n">
        <f aca="false">Inputs!$B$57*365/12*(Inputs!$B$58*Inputs!$B$59*Inputs!$B$61+(12-Inputs!$B$58)*Inputs!$B$60*Inputs!$B$62)/Inputs!$B$63/1000000</f>
        <v>102.628896882494</v>
      </c>
      <c r="H30" s="41" t="n">
        <f aca="false">Inputs!$B$57*365/12*(Inputs!$B$58*Inputs!$B$59*Inputs!$B$61+(12-Inputs!$B$58)*Inputs!$B$60*Inputs!$B$62)/Inputs!$B$63/1000000</f>
        <v>102.628896882494</v>
      </c>
      <c r="I30" s="41" t="n">
        <f aca="false">Inputs!$B$57*365/12*(Inputs!$B$58*Inputs!$B$59*Inputs!$B$61+(12-Inputs!$B$58)*Inputs!$B$60*Inputs!$B$62)/Inputs!$B$63/1000000</f>
        <v>102.628896882494</v>
      </c>
      <c r="J30" s="41" t="n">
        <f aca="false">Inputs!$B$57*365/12*(Inputs!$B$58*Inputs!$B$59*Inputs!$B$61+(12-Inputs!$B$58)*Inputs!$B$60*Inputs!$B$62)/Inputs!$B$63/1000000</f>
        <v>102.628896882494</v>
      </c>
      <c r="K30" s="41" t="n">
        <f aca="false">Inputs!$B$57*365/12*(Inputs!$B$58*Inputs!$B$59*Inputs!$B$61+(12-Inputs!$B$58)*Inputs!$B$60*Inputs!$B$62)/Inputs!$B$63/1000000</f>
        <v>102.628896882494</v>
      </c>
      <c r="L30" s="41" t="n">
        <f aca="false">Inputs!$B$57*365/12*(Inputs!$B$58*Inputs!$B$59*Inputs!$B$61+(12-Inputs!$B$58)*Inputs!$B$60*Inputs!$B$62)/Inputs!$B$63/1000000</f>
        <v>102.628896882494</v>
      </c>
      <c r="M30" s="41" t="n">
        <f aca="false">Inputs!$B$57*365/12*(Inputs!$B$58*Inputs!$B$59*Inputs!$B$61+(12-Inputs!$B$58)*Inputs!$B$60*Inputs!$B$62)/Inputs!$B$63/1000000</f>
        <v>102.628896882494</v>
      </c>
      <c r="N30" s="41" t="n">
        <f aca="false">Inputs!$B$57*365/12*(Inputs!$B$58*Inputs!$B$59*Inputs!$B$61+(12-Inputs!$B$58)*Inputs!$B$60*Inputs!$B$62)/Inputs!$B$63/1000000</f>
        <v>102.628896882494</v>
      </c>
      <c r="O30" s="41" t="n">
        <f aca="false">Inputs!$B$57*365/12*(Inputs!$B$58*Inputs!$B$59*Inputs!$B$61+(12-Inputs!$B$58)*Inputs!$B$60*Inputs!$B$62)/Inputs!$B$63/1000000</f>
        <v>102.628896882494</v>
      </c>
      <c r="P30" s="41" t="n">
        <f aca="false">Inputs!$B$57*365/12*(Inputs!$B$58*Inputs!$B$59*Inputs!$B$61+(12-Inputs!$B$58)*Inputs!$B$60*Inputs!$B$62)/Inputs!$B$63/1000000</f>
        <v>102.628896882494</v>
      </c>
      <c r="Q30" s="41" t="n">
        <f aca="false">Inputs!$B$57*365/12*(Inputs!$B$58*Inputs!$B$59*Inputs!$B$61+(12-Inputs!$B$58)*Inputs!$B$60*Inputs!$B$62)/Inputs!$B$63/1000000</f>
        <v>102.628896882494</v>
      </c>
      <c r="R30" s="41" t="n">
        <f aca="false">Inputs!$B$57*365/12*(Inputs!$B$58*Inputs!$B$59*Inputs!$B$61+(12-Inputs!$B$58)*Inputs!$B$60*Inputs!$B$62)/Inputs!$B$63/1000000</f>
        <v>102.628896882494</v>
      </c>
      <c r="S30" s="41" t="n">
        <f aca="false">Inputs!$B$57*365/12*(Inputs!$B$58*Inputs!$B$59*Inputs!$B$61+(12-Inputs!$B$58)*Inputs!$B$60*Inputs!$B$62)/Inputs!$B$63/1000000</f>
        <v>102.628896882494</v>
      </c>
      <c r="T30" s="41" t="n">
        <f aca="false">Inputs!$B$57*365/12*(Inputs!$B$58*Inputs!$B$59*Inputs!$B$61+(12-Inputs!$B$58)*Inputs!$B$60*Inputs!$B$62)/Inputs!$B$63/1000000</f>
        <v>102.628896882494</v>
      </c>
      <c r="U30" s="41" t="n">
        <f aca="false">Inputs!$B$57*365/12*(Inputs!$B$58*Inputs!$B$59*Inputs!$B$61+(12-Inputs!$B$58)*Inputs!$B$60*Inputs!$B$62)/Inputs!$B$63/1000000</f>
        <v>102.628896882494</v>
      </c>
      <c r="V30" s="41" t="n">
        <f aca="false">Inputs!$B$57*365/12*(Inputs!$B$58*Inputs!$B$59*Inputs!$B$61+(12-Inputs!$B$58)*Inputs!$B$60*Inputs!$B$62)/Inputs!$B$63/1000000</f>
        <v>102.628896882494</v>
      </c>
      <c r="W30" s="41" t="n">
        <f aca="false">Inputs!$B$57*365/12*(Inputs!$B$58*Inputs!$B$59*Inputs!$B$61+(12-Inputs!$B$58)*Inputs!$B$60*Inputs!$B$62)/Inputs!$B$63/1000000</f>
        <v>102.628896882494</v>
      </c>
      <c r="X30" s="41" t="n">
        <f aca="false">Inputs!$B$57*365/12*(Inputs!$B$58*Inputs!$B$59*Inputs!$B$61+(12-Inputs!$B$58)*Inputs!$B$60*Inputs!$B$62)/Inputs!$B$63/1000000</f>
        <v>102.628896882494</v>
      </c>
      <c r="Y30" s="41" t="n">
        <f aca="false">Inputs!$B$57*365/12*(Inputs!$B$58*Inputs!$B$59*Inputs!$B$61+(12-Inputs!$B$58)*Inputs!$B$60*Inputs!$B$62)/Inputs!$B$63/1000000</f>
        <v>102.628896882494</v>
      </c>
      <c r="Z30" s="41" t="n">
        <f aca="false">Inputs!$B$57*365/12*(Inputs!$B$58*Inputs!$B$59*Inputs!$B$61+(12-Inputs!$B$58)*Inputs!$B$60*Inputs!$B$62)/Inputs!$B$63/1000000</f>
        <v>102.628896882494</v>
      </c>
      <c r="AA30" s="41" t="n">
        <f aca="false">Inputs!$B$57*365/12*(Inputs!$B$58*Inputs!$B$59*Inputs!$B$61+(12-Inputs!$B$58)*Inputs!$B$60*Inputs!$B$62)/Inputs!$B$63/1000000</f>
        <v>102.628896882494</v>
      </c>
      <c r="AB30" s="41" t="n">
        <f aca="false">Inputs!$B$57*365/12*(Inputs!$B$58*Inputs!$B$59*Inputs!$B$61+(12-Inputs!$B$58)*Inputs!$B$60*Inputs!$B$62)/Inputs!$B$63/1000000</f>
        <v>102.628896882494</v>
      </c>
      <c r="AC30" s="41" t="n">
        <f aca="false">Inputs!$B$57*365/12*(Inputs!$B$58*Inputs!$B$59*Inputs!$B$61+(12-Inputs!$B$58)*Inputs!$B$60*Inputs!$B$62)/Inputs!$B$63/1000000</f>
        <v>102.628896882494</v>
      </c>
      <c r="AD30" s="41" t="n">
        <f aca="false">Inputs!$B$57*365/12*(Inputs!$B$58*Inputs!$B$59*Inputs!$B$61+(12-Inputs!$B$58)*Inputs!$B$60*Inputs!$B$62)/Inputs!$B$63/1000000</f>
        <v>102.628896882494</v>
      </c>
      <c r="AE30" s="41" t="n">
        <f aca="false">Inputs!$B$57*365/12*(Inputs!$B$58*Inputs!$B$59*Inputs!$B$61+(12-Inputs!$B$58)*Inputs!$B$60*Inputs!$B$62)/Inputs!$B$63/1000000</f>
        <v>102.628896882494</v>
      </c>
      <c r="AF30" s="41" t="n">
        <f aca="false">Inputs!$B$57*365/12*(Inputs!$B$58*Inputs!$B$59*Inputs!$B$61+(12-Inputs!$B$58)*Inputs!$B$60*Inputs!$B$62)/Inputs!$B$63/1000000</f>
        <v>102.628896882494</v>
      </c>
      <c r="AG30" s="41" t="n">
        <f aca="false">Inputs!$B$57*365/12*(Inputs!$B$58*Inputs!$B$59*Inputs!$B$61+(12-Inputs!$B$58)*Inputs!$B$60*Inputs!$B$62)/Inputs!$B$63/1000000</f>
        <v>102.628896882494</v>
      </c>
      <c r="AH30" s="41" t="n">
        <f aca="false">Inputs!$B$57*365/12*(Inputs!$B$58*Inputs!$B$59*Inputs!$B$61+(12-Inputs!$B$58)*Inputs!$B$60*Inputs!$B$62)/Inputs!$B$63/1000000</f>
        <v>102.628896882494</v>
      </c>
      <c r="AI30" s="41" t="n">
        <f aca="false">Inputs!$B$57*365/12*(Inputs!$B$58*Inputs!$B$59*Inputs!$B$61+(12-Inputs!$B$58)*Inputs!$B$60*Inputs!$B$62)/Inputs!$B$63/1000000</f>
        <v>102.628896882494</v>
      </c>
      <c r="AJ30" s="41" t="n">
        <f aca="false">Inputs!$B$57*365/12*(Inputs!$B$58*Inputs!$B$59*Inputs!$B$61+(12-Inputs!$B$58)*Inputs!$B$60*Inputs!$B$62)/Inputs!$B$63/1000000</f>
        <v>102.628896882494</v>
      </c>
      <c r="AK30" s="41" t="n">
        <f aca="false">Inputs!$B$57*365/12*(Inputs!$B$58*Inputs!$B$59*Inputs!$B$61+(12-Inputs!$B$58)*Inputs!$B$60*Inputs!$B$62)/Inputs!$B$63/1000000</f>
        <v>102.628896882494</v>
      </c>
      <c r="AL30" s="41" t="n">
        <f aca="false">Inputs!$B$57*365/12*(Inputs!$B$58*Inputs!$B$59*Inputs!$B$61+(12-Inputs!$B$58)*Inputs!$B$60*Inputs!$B$62)/Inputs!$B$63/1000000</f>
        <v>102.628896882494</v>
      </c>
      <c r="AM30" s="41" t="n">
        <f aca="false">Inputs!$B$57*365/12*(Inputs!$B$58*Inputs!$B$59*Inputs!$B$61+(12-Inputs!$B$58)*Inputs!$B$60*Inputs!$B$62)/Inputs!$B$63/1000000</f>
        <v>102.628896882494</v>
      </c>
      <c r="AN30" s="41" t="n">
        <f aca="false">Inputs!$B$57*365/12*(Inputs!$B$58*Inputs!$B$59*Inputs!$B$61+(12-Inputs!$B$58)*Inputs!$B$60*Inputs!$B$62)/Inputs!$B$63/1000000</f>
        <v>102.628896882494</v>
      </c>
      <c r="AO30" s="41" t="n">
        <f aca="false">Inputs!$B$57*365/12*(Inputs!$B$58*Inputs!$B$59*Inputs!$B$61+(12-Inputs!$B$58)*Inputs!$B$60*Inputs!$B$62)/Inputs!$B$63/1000000</f>
        <v>102.628896882494</v>
      </c>
      <c r="AP30" s="41" t="n">
        <f aca="false">Inputs!$B$57*365/12*(Inputs!$B$58*Inputs!$B$59*Inputs!$B$61+(12-Inputs!$B$58)*Inputs!$B$60*Inputs!$B$62)/Inputs!$B$63/1000000</f>
        <v>102.628896882494</v>
      </c>
      <c r="AQ30" s="41" t="n">
        <f aca="false">Inputs!$B$57*365/12*(Inputs!$B$58*Inputs!$B$59*Inputs!$B$61+(12-Inputs!$B$58)*Inputs!$B$60*Inputs!$B$62)/Inputs!$B$63/1000000</f>
        <v>102.628896882494</v>
      </c>
      <c r="AR30" s="41" t="n">
        <f aca="false">Inputs!$B$57*365/12*(Inputs!$B$58*Inputs!$B$59*Inputs!$B$61+(12-Inputs!$B$58)*Inputs!$B$60*Inputs!$B$62)/Inputs!$B$63/1000000</f>
        <v>102.628896882494</v>
      </c>
      <c r="AS30" s="41" t="n">
        <f aca="false">Inputs!$B$57*365/12*(Inputs!$B$58*Inputs!$B$59*Inputs!$B$61+(12-Inputs!$B$58)*Inputs!$B$60*Inputs!$B$62)/Inputs!$B$63/1000000</f>
        <v>102.628896882494</v>
      </c>
      <c r="AT30" s="41" t="n">
        <f aca="false">Inputs!$B$57*365/12*(Inputs!$B$58*Inputs!$B$59*Inputs!$B$61+(12-Inputs!$B$58)*Inputs!$B$60*Inputs!$B$62)/Inputs!$B$63/1000000</f>
        <v>102.628896882494</v>
      </c>
      <c r="AU30" s="41" t="n">
        <f aca="false">Inputs!$B$57*365/12*(Inputs!$B$58*Inputs!$B$59*Inputs!$B$61+(12-Inputs!$B$58)*Inputs!$B$60*Inputs!$B$62)/Inputs!$B$63/1000000</f>
        <v>102.628896882494</v>
      </c>
      <c r="AV30" s="41" t="n">
        <f aca="false">Inputs!$B$57*365/12*(Inputs!$B$58*Inputs!$B$59*Inputs!$B$61+(12-Inputs!$B$58)*Inputs!$B$60*Inputs!$B$62)/Inputs!$B$63/1000000</f>
        <v>102.628896882494</v>
      </c>
      <c r="AW30" s="41" t="n">
        <f aca="false">Inputs!$B$57*365/12*(Inputs!$B$58*Inputs!$B$59*Inputs!$B$61+(12-Inputs!$B$58)*Inputs!$B$60*Inputs!$B$62)/Inputs!$B$63/1000000</f>
        <v>102.628896882494</v>
      </c>
      <c r="AX30" s="41" t="n">
        <f aca="false">Inputs!$B$57*365/12*(Inputs!$B$58*Inputs!$B$59*Inputs!$B$61+(12-Inputs!$B$58)*Inputs!$B$60*Inputs!$B$62)/Inputs!$B$63/1000000</f>
        <v>102.628896882494</v>
      </c>
      <c r="AY30" s="41" t="n">
        <f aca="false">Inputs!$B$57*365/12*(Inputs!$B$58*Inputs!$B$59*Inputs!$B$61+(12-Inputs!$B$58)*Inputs!$B$60*Inputs!$B$62)/Inputs!$B$63/1000000</f>
        <v>102.628896882494</v>
      </c>
      <c r="AZ30" s="41" t="n">
        <f aca="false">Inputs!$B$57*365/12*(Inputs!$B$58*Inputs!$B$59*Inputs!$B$61+(12-Inputs!$B$58)*Inputs!$B$60*Inputs!$B$62)/Inputs!$B$63/1000000</f>
        <v>102.628896882494</v>
      </c>
    </row>
    <row r="31" customFormat="false" ht="15" hidden="false" customHeight="true" outlineLevel="0" collapsed="false">
      <c r="A31" s="6" t="s">
        <v>596</v>
      </c>
      <c r="C31" s="21" t="n">
        <f aca="false">SUM(D31:AZ31)</f>
        <v>7988.19625368114</v>
      </c>
      <c r="D31" s="21" t="n">
        <f aca="false">D30*D25*D29*Inputs!$B$6*Inputs!$B$200</f>
        <v>0</v>
      </c>
      <c r="E31" s="21" t="n">
        <f aca="false">E30*E25*E29*Inputs!$B$6*Inputs!$B$200</f>
        <v>0</v>
      </c>
      <c r="F31" s="21" t="n">
        <f aca="false">F30*F25*F29*Inputs!$B$6*Inputs!$B$200</f>
        <v>0</v>
      </c>
      <c r="G31" s="21" t="n">
        <f aca="false">G30*G25*G29*Inputs!$B$6*Inputs!$B$200</f>
        <v>46.4395758393285</v>
      </c>
      <c r="H31" s="21" t="n">
        <f aca="false">H30*H25*H29*Inputs!$B$6*Inputs!$B$200</f>
        <v>99.8619397194245</v>
      </c>
      <c r="I31" s="21" t="n">
        <f aca="false">I30*I25*I29*Inputs!$B$6*Inputs!$B$200</f>
        <v>107.215219104227</v>
      </c>
      <c r="J31" s="21" t="n">
        <f aca="false">J30*J25*J29*Inputs!$B$6*Inputs!$B$200</f>
        <v>109.58467544643</v>
      </c>
      <c r="K31" s="21" t="n">
        <f aca="false">K30*K25*K29*Inputs!$B$6*Inputs!$B$200</f>
        <v>112.006496773796</v>
      </c>
      <c r="L31" s="21" t="n">
        <f aca="false">L30*L25*L29*Inputs!$B$6*Inputs!$B$200</f>
        <v>114.481840352497</v>
      </c>
      <c r="M31" s="21" t="n">
        <f aca="false">M30*M25*M29*Inputs!$B$6*Inputs!$B$200</f>
        <v>117.011889024287</v>
      </c>
      <c r="N31" s="21" t="n">
        <f aca="false">N30*N25*N29*Inputs!$B$6*Inputs!$B$200</f>
        <v>119.597851771724</v>
      </c>
      <c r="O31" s="21" t="n">
        <f aca="false">O30*O25*O29*Inputs!$B$6*Inputs!$B$200</f>
        <v>122.240964295879</v>
      </c>
      <c r="P31" s="21" t="n">
        <f aca="false">P30*P25*P29*Inputs!$B$6*Inputs!$B$200</f>
        <v>124.942489606818</v>
      </c>
      <c r="Q31" s="21" t="n">
        <f aca="false">Q30*Q25*Q29*Inputs!$B$6*Inputs!$B$200</f>
        <v>127.703718627129</v>
      </c>
      <c r="R31" s="21" t="n">
        <f aca="false">R30*R25*R29*Inputs!$B$6*Inputs!$B$200</f>
        <v>130.525970808788</v>
      </c>
      <c r="S31" s="21" t="n">
        <f aca="false">S30*S25*S29*Inputs!$B$6*Inputs!$B$200</f>
        <v>133.410594763662</v>
      </c>
      <c r="T31" s="21" t="n">
        <f aca="false">T30*T25*T29*Inputs!$B$6*Inputs!$B$200</f>
        <v>136.358968907939</v>
      </c>
      <c r="U31" s="21" t="n">
        <f aca="false">U30*U25*U29*Inputs!$B$6*Inputs!$B$200</f>
        <v>139.372502120805</v>
      </c>
      <c r="V31" s="21" t="n">
        <f aca="false">V30*V25*V29*Inputs!$B$6*Inputs!$B$200</f>
        <v>142.452634417675</v>
      </c>
      <c r="W31" s="21" t="n">
        <f aca="false">W30*W25*W29*Inputs!$B$6*Inputs!$B$200</f>
        <v>145.600837638305</v>
      </c>
      <c r="X31" s="21" t="n">
        <f aca="false">X30*X25*X29*Inputs!$B$6*Inputs!$B$200</f>
        <v>148.818616150112</v>
      </c>
      <c r="Y31" s="21" t="n">
        <f aca="false">Y30*Y25*Y29*Inputs!$B$6*Inputs!$B$200</f>
        <v>152.107507567029</v>
      </c>
      <c r="Z31" s="21" t="n">
        <f aca="false">Z30*Z25*Z29*Inputs!$B$6*Inputs!$B$200</f>
        <v>155.469083484261</v>
      </c>
      <c r="AA31" s="21" t="n">
        <f aca="false">AA30*AA25*AA29*Inputs!$B$6*Inputs!$B$200</f>
        <v>158.904950229263</v>
      </c>
      <c r="AB31" s="21" t="n">
        <f aca="false">AB30*AB25*AB29*Inputs!$B$6*Inputs!$B$200</f>
        <v>162.416749629329</v>
      </c>
      <c r="AC31" s="21" t="n">
        <f aca="false">AC30*AC25*AC29*Inputs!$B$6*Inputs!$B$200</f>
        <v>166.006159796138</v>
      </c>
      <c r="AD31" s="21" t="n">
        <f aca="false">AD30*AD25*AD29*Inputs!$B$6*Inputs!$B$200</f>
        <v>169.674895927632</v>
      </c>
      <c r="AE31" s="21" t="n">
        <f aca="false">AE30*AE25*AE29*Inputs!$B$6*Inputs!$B$200</f>
        <v>173.424711127633</v>
      </c>
      <c r="AF31" s="21" t="n">
        <f aca="false">AF30*AF25*AF29*Inputs!$B$6*Inputs!$B$200</f>
        <v>177.257397243554</v>
      </c>
      <c r="AG31" s="21" t="n">
        <f aca="false">AG30*AG25*AG29*Inputs!$B$6*Inputs!$B$200</f>
        <v>181.174785722636</v>
      </c>
      <c r="AH31" s="21" t="n">
        <f aca="false">AH30*AH25*AH29*Inputs!$B$6*Inputs!$B$200</f>
        <v>185.178748487106</v>
      </c>
      <c r="AI31" s="21" t="n">
        <f aca="false">AI30*AI25*AI29*Inputs!$B$6*Inputs!$B$200</f>
        <v>189.271198828672</v>
      </c>
      <c r="AJ31" s="21" t="n">
        <f aca="false">AJ30*AJ25*AJ29*Inputs!$B$6*Inputs!$B$200</f>
        <v>193.454092322785</v>
      </c>
      <c r="AK31" s="21" t="n">
        <f aca="false">AK30*AK25*AK29*Inputs!$B$6*Inputs!$B$200</f>
        <v>197.729427763119</v>
      </c>
      <c r="AL31" s="21" t="n">
        <f aca="false">AL30*AL25*AL29*Inputs!$B$6*Inputs!$B$200</f>
        <v>202.099248116684</v>
      </c>
      <c r="AM31" s="21" t="n">
        <f aca="false">AM30*AM25*AM29*Inputs!$B$6*Inputs!$B$200</f>
        <v>206.565641500062</v>
      </c>
      <c r="AN31" s="21" t="n">
        <f aca="false">AN30*AN25*AN29*Inputs!$B$6*Inputs!$B$200</f>
        <v>211.130742177214</v>
      </c>
      <c r="AO31" s="21" t="n">
        <f aca="false">AO30*AO25*AO29*Inputs!$B$6*Inputs!$B$200</f>
        <v>215.79673157933</v>
      </c>
      <c r="AP31" s="21" t="n">
        <f aca="false">AP30*AP25*AP29*Inputs!$B$6*Inputs!$B$200</f>
        <v>220.565839347233</v>
      </c>
      <c r="AQ31" s="21" t="n">
        <f aca="false">AQ30*AQ25*AQ29*Inputs!$B$6*Inputs!$B$200</f>
        <v>225.440344396807</v>
      </c>
      <c r="AR31" s="21" t="n">
        <f aca="false">AR30*AR25*AR29*Inputs!$B$6*Inputs!$B$200</f>
        <v>230.422576007977</v>
      </c>
      <c r="AS31" s="21" t="n">
        <f aca="false">AS30*AS25*AS29*Inputs!$B$6*Inputs!$B$200</f>
        <v>235.514914937753</v>
      </c>
      <c r="AT31" s="21" t="n">
        <f aca="false">AT30*AT25*AT29*Inputs!$B$6*Inputs!$B$200</f>
        <v>240.719794557877</v>
      </c>
      <c r="AU31" s="21" t="n">
        <f aca="false">AU30*AU25*AU29*Inputs!$B$6*Inputs!$B$200</f>
        <v>246.039702017606</v>
      </c>
      <c r="AV31" s="21" t="n">
        <f aca="false">AV30*AV25*AV29*Inputs!$B$6*Inputs!$B$200</f>
        <v>251.477179432195</v>
      </c>
      <c r="AW31" s="21" t="n">
        <f aca="false">AW30*AW25*AW29*Inputs!$B$6*Inputs!$B$200</f>
        <v>257.034825097647</v>
      </c>
      <c r="AX31" s="21" t="n">
        <f aca="false">AX30*AX25*AX29*Inputs!$B$6*Inputs!$B$200</f>
        <v>262.715294732305</v>
      </c>
      <c r="AY31" s="21" t="n">
        <f aca="false">AY30*AY25*AY29*Inputs!$B$6*Inputs!$B$200</f>
        <v>268.521302745889</v>
      </c>
      <c r="AZ31" s="21" t="n">
        <f aca="false">AZ30*AZ25*AZ29*Inputs!$B$6*Inputs!$B$200</f>
        <v>274.455623536573</v>
      </c>
    </row>
    <row r="32" customFormat="false" ht="15" hidden="false" customHeight="true" outlineLevel="0" collapsed="false">
      <c r="A32" s="13" t="s">
        <v>597</v>
      </c>
      <c r="D32" s="19" t="n">
        <f aca="false">D31*1000/Inputs!$B$57</f>
        <v>0</v>
      </c>
      <c r="E32" s="19" t="n">
        <f aca="false">E31*1000/Inputs!$B$57</f>
        <v>0</v>
      </c>
      <c r="F32" s="19" t="n">
        <f aca="false">F31*1000/Inputs!$B$57</f>
        <v>0</v>
      </c>
      <c r="G32" s="19" t="n">
        <f aca="false">G31*1000/Inputs!$B$57</f>
        <v>77.3992930655476</v>
      </c>
      <c r="H32" s="19" t="n">
        <f aca="false">H31*1000/Inputs!$B$57</f>
        <v>166.436566199041</v>
      </c>
      <c r="I32" s="19" t="n">
        <f aca="false">I31*1000/Inputs!$B$57</f>
        <v>178.692031840378</v>
      </c>
      <c r="J32" s="19" t="n">
        <f aca="false">J31*1000/Inputs!$B$57</f>
        <v>182.64112574405</v>
      </c>
      <c r="K32" s="19" t="n">
        <f aca="false">K31*1000/Inputs!$B$57</f>
        <v>186.677494622994</v>
      </c>
      <c r="L32" s="19" t="n">
        <f aca="false">L31*1000/Inputs!$B$57</f>
        <v>190.803067254162</v>
      </c>
      <c r="M32" s="19" t="n">
        <f aca="false">M31*1000/Inputs!$B$57</f>
        <v>195.019815040479</v>
      </c>
      <c r="N32" s="19" t="n">
        <f aca="false">N31*1000/Inputs!$B$57</f>
        <v>199.329752952873</v>
      </c>
      <c r="O32" s="19" t="n">
        <f aca="false">O31*1000/Inputs!$B$57</f>
        <v>203.734940493132</v>
      </c>
      <c r="P32" s="19" t="n">
        <f aca="false">P31*1000/Inputs!$B$57</f>
        <v>208.23748267803</v>
      </c>
      <c r="Q32" s="19" t="n">
        <f aca="false">Q31*1000/Inputs!$B$57</f>
        <v>212.839531045214</v>
      </c>
      <c r="R32" s="19" t="n">
        <f aca="false">R31*1000/Inputs!$B$57</f>
        <v>217.543284681314</v>
      </c>
      <c r="S32" s="19" t="n">
        <f aca="false">S31*1000/Inputs!$B$57</f>
        <v>222.350991272771</v>
      </c>
      <c r="T32" s="19" t="n">
        <f aca="false">T31*1000/Inputs!$B$57</f>
        <v>227.264948179899</v>
      </c>
      <c r="U32" s="19" t="n">
        <f aca="false">U31*1000/Inputs!$B$57</f>
        <v>232.287503534675</v>
      </c>
      <c r="V32" s="19" t="n">
        <f aca="false">V31*1000/Inputs!$B$57</f>
        <v>237.421057362791</v>
      </c>
      <c r="W32" s="19" t="n">
        <f aca="false">W31*1000/Inputs!$B$57</f>
        <v>242.668062730509</v>
      </c>
      <c r="X32" s="19" t="n">
        <f aca="false">X31*1000/Inputs!$B$57</f>
        <v>248.031026916853</v>
      </c>
      <c r="Y32" s="19" t="n">
        <f aca="false">Y31*1000/Inputs!$B$57</f>
        <v>253.512512611715</v>
      </c>
      <c r="Z32" s="19" t="n">
        <f aca="false">Z31*1000/Inputs!$B$57</f>
        <v>259.115139140434</v>
      </c>
      <c r="AA32" s="19" t="n">
        <f aca="false">AA31*1000/Inputs!$B$57</f>
        <v>264.841583715438</v>
      </c>
      <c r="AB32" s="19" t="n">
        <f aca="false">AB31*1000/Inputs!$B$57</f>
        <v>270.694582715549</v>
      </c>
      <c r="AC32" s="19" t="n">
        <f aca="false">AC31*1000/Inputs!$B$57</f>
        <v>276.676932993563</v>
      </c>
      <c r="AD32" s="19" t="n">
        <f aca="false">AD31*1000/Inputs!$B$57</f>
        <v>282.79149321272</v>
      </c>
      <c r="AE32" s="19" t="n">
        <f aca="false">AE31*1000/Inputs!$B$57</f>
        <v>289.041185212722</v>
      </c>
      <c r="AF32" s="19" t="n">
        <f aca="false">AF31*1000/Inputs!$B$57</f>
        <v>295.428995405923</v>
      </c>
      <c r="AG32" s="19" t="n">
        <f aca="false">AG31*1000/Inputs!$B$57</f>
        <v>301.957976204394</v>
      </c>
      <c r="AH32" s="19" t="n">
        <f aca="false">AH31*1000/Inputs!$B$57</f>
        <v>308.631247478511</v>
      </c>
      <c r="AI32" s="19" t="n">
        <f aca="false">AI31*1000/Inputs!$B$57</f>
        <v>315.451998047786</v>
      </c>
      <c r="AJ32" s="19" t="n">
        <f aca="false">AJ31*1000/Inputs!$B$57</f>
        <v>322.423487204642</v>
      </c>
      <c r="AK32" s="19" t="n">
        <f aca="false">AK31*1000/Inputs!$B$57</f>
        <v>329.549046271865</v>
      </c>
      <c r="AL32" s="19" t="n">
        <f aca="false">AL31*1000/Inputs!$B$57</f>
        <v>336.832080194473</v>
      </c>
      <c r="AM32" s="19" t="n">
        <f aca="false">AM31*1000/Inputs!$B$57</f>
        <v>344.276069166771</v>
      </c>
      <c r="AN32" s="19" t="n">
        <f aca="false">AN31*1000/Inputs!$B$57</f>
        <v>351.884570295356</v>
      </c>
      <c r="AO32" s="19" t="n">
        <f aca="false">AO31*1000/Inputs!$B$57</f>
        <v>359.661219298884</v>
      </c>
      <c r="AP32" s="19" t="n">
        <f aca="false">AP31*1000/Inputs!$B$57</f>
        <v>367.609732245389</v>
      </c>
      <c r="AQ32" s="19" t="n">
        <f aca="false">AQ31*1000/Inputs!$B$57</f>
        <v>375.733907328012</v>
      </c>
      <c r="AR32" s="19" t="n">
        <f aca="false">AR31*1000/Inputs!$B$57</f>
        <v>384.037626679961</v>
      </c>
      <c r="AS32" s="19" t="n">
        <f aca="false">AS31*1000/Inputs!$B$57</f>
        <v>392.524858229588</v>
      </c>
      <c r="AT32" s="19" t="n">
        <f aca="false">AT31*1000/Inputs!$B$57</f>
        <v>401.199657596462</v>
      </c>
      <c r="AU32" s="19" t="n">
        <f aca="false">AU31*1000/Inputs!$B$57</f>
        <v>410.066170029344</v>
      </c>
      <c r="AV32" s="19" t="n">
        <f aca="false">AV31*1000/Inputs!$B$57</f>
        <v>419.128632386992</v>
      </c>
      <c r="AW32" s="19" t="n">
        <f aca="false">AW31*1000/Inputs!$B$57</f>
        <v>428.391375162745</v>
      </c>
      <c r="AX32" s="19" t="n">
        <f aca="false">AX31*1000/Inputs!$B$57</f>
        <v>437.858824553842</v>
      </c>
      <c r="AY32" s="19" t="n">
        <f aca="false">AY31*1000/Inputs!$B$57</f>
        <v>447.535504576482</v>
      </c>
      <c r="AZ32" s="19" t="n">
        <f aca="false">AZ31*1000/Inputs!$B$57</f>
        <v>457.426039227622</v>
      </c>
    </row>
    <row r="33" customFormat="false" ht="15" hidden="false" customHeight="true" outlineLevel="0" collapsed="false">
      <c r="A33" s="13" t="s">
        <v>405</v>
      </c>
      <c r="D33" s="50" t="n">
        <f aca="false">IF((2026-Inputs!$B$53-Inputs!$B$9)&lt;0,0,IF((2026-Inputs!$B$53-Inputs!$B$9)=0,Inputs!$B$67,IF((2026-Inputs!$B$53-Inputs!$B$9)=1,Inputs!$B$68,Inputs!$B$69)))</f>
        <v>0</v>
      </c>
      <c r="E33" s="50" t="n">
        <f aca="false">IF((2027-Inputs!$B$53-Inputs!$B$9)&lt;0,0,IF((2027-Inputs!$B$53-Inputs!$B$9)=0,Inputs!$B$67,IF((2027-Inputs!$B$53-Inputs!$B$9)=1,Inputs!$B$68,Inputs!$B$69)))</f>
        <v>0</v>
      </c>
      <c r="F33" s="50" t="n">
        <f aca="false">IF((2028-Inputs!$B$53-Inputs!$B$9)&lt;0,0,IF((2028-Inputs!$B$53-Inputs!$B$9)=0,Inputs!$B$67,IF((2028-Inputs!$B$53-Inputs!$B$9)=1,Inputs!$B$68,Inputs!$B$69)))</f>
        <v>0</v>
      </c>
      <c r="G33" s="50" t="n">
        <f aca="false">IF((2029-Inputs!$B$53-Inputs!$B$9)&lt;0,0,IF((2029-Inputs!$B$53-Inputs!$B$9)=0,Inputs!$B$67,IF((2029-Inputs!$B$53-Inputs!$B$9)=1,Inputs!$B$68,Inputs!$B$69)))</f>
        <v>0.442</v>
      </c>
      <c r="H33" s="50" t="n">
        <f aca="false">IF((2030-Inputs!$B$53-Inputs!$B$9)&lt;0,0,IF((2030-Inputs!$B$53-Inputs!$B$9)=0,Inputs!$B$67,IF((2030-Inputs!$B$53-Inputs!$B$9)=1,Inputs!$B$68,Inputs!$B$69)))</f>
        <v>0.461</v>
      </c>
      <c r="I33" s="50" t="n">
        <f aca="false">IF((2031-Inputs!$B$53-Inputs!$B$9)&lt;0,0,IF((2031-Inputs!$B$53-Inputs!$B$9)=0,Inputs!$B$67,IF((2031-Inputs!$B$53-Inputs!$B$9)=1,Inputs!$B$68,Inputs!$B$69)))</f>
        <v>0.474</v>
      </c>
      <c r="J33" s="50" t="n">
        <f aca="false">IF((2032-Inputs!$B$53-Inputs!$B$9)&lt;0,0,IF((2032-Inputs!$B$53-Inputs!$B$9)=0,Inputs!$B$67,IF((2032-Inputs!$B$53-Inputs!$B$9)=1,Inputs!$B$68,Inputs!$B$69)))</f>
        <v>0.474</v>
      </c>
      <c r="K33" s="50" t="n">
        <f aca="false">IF((2033-Inputs!$B$53-Inputs!$B$9)&lt;0,0,IF((2033-Inputs!$B$53-Inputs!$B$9)=0,Inputs!$B$67,IF((2033-Inputs!$B$53-Inputs!$B$9)=1,Inputs!$B$68,Inputs!$B$69)))</f>
        <v>0.474</v>
      </c>
      <c r="L33" s="50" t="n">
        <f aca="false">IF((2034-Inputs!$B$53-Inputs!$B$9)&lt;0,0,IF((2034-Inputs!$B$53-Inputs!$B$9)=0,Inputs!$B$67,IF((2034-Inputs!$B$53-Inputs!$B$9)=1,Inputs!$B$68,Inputs!$B$69)))</f>
        <v>0.474</v>
      </c>
      <c r="M33" s="50" t="n">
        <f aca="false">IF((2035-Inputs!$B$53-Inputs!$B$9)&lt;0,0,IF((2035-Inputs!$B$53-Inputs!$B$9)=0,Inputs!$B$67,IF((2035-Inputs!$B$53-Inputs!$B$9)=1,Inputs!$B$68,Inputs!$B$69)))</f>
        <v>0.474</v>
      </c>
      <c r="N33" s="50" t="n">
        <f aca="false">IF((2036-Inputs!$B$53-Inputs!$B$9)&lt;0,0,IF((2036-Inputs!$B$53-Inputs!$B$9)=0,Inputs!$B$67,IF((2036-Inputs!$B$53-Inputs!$B$9)=1,Inputs!$B$68,Inputs!$B$69)))</f>
        <v>0.474</v>
      </c>
      <c r="O33" s="50" t="n">
        <f aca="false">IF((2037-Inputs!$B$53-Inputs!$B$9)&lt;0,0,IF((2037-Inputs!$B$53-Inputs!$B$9)=0,Inputs!$B$67,IF((2037-Inputs!$B$53-Inputs!$B$9)=1,Inputs!$B$68,Inputs!$B$69)))</f>
        <v>0.474</v>
      </c>
      <c r="P33" s="50" t="n">
        <f aca="false">IF((2038-Inputs!$B$53-Inputs!$B$9)&lt;0,0,IF((2038-Inputs!$B$53-Inputs!$B$9)=0,Inputs!$B$67,IF((2038-Inputs!$B$53-Inputs!$B$9)=1,Inputs!$B$68,Inputs!$B$69)))</f>
        <v>0.474</v>
      </c>
      <c r="Q33" s="50" t="n">
        <f aca="false">IF((2039-Inputs!$B$53-Inputs!$B$9)&lt;0,0,IF((2039-Inputs!$B$53-Inputs!$B$9)=0,Inputs!$B$67,IF((2039-Inputs!$B$53-Inputs!$B$9)=1,Inputs!$B$68,Inputs!$B$69)))</f>
        <v>0.474</v>
      </c>
      <c r="R33" s="50" t="n">
        <f aca="false">IF((2040-Inputs!$B$53-Inputs!$B$9)&lt;0,0,IF((2040-Inputs!$B$53-Inputs!$B$9)=0,Inputs!$B$67,IF((2040-Inputs!$B$53-Inputs!$B$9)=1,Inputs!$B$68,Inputs!$B$69)))</f>
        <v>0.474</v>
      </c>
      <c r="S33" s="50" t="n">
        <f aca="false">IF((2041-Inputs!$B$53-Inputs!$B$9)&lt;0,0,IF((2041-Inputs!$B$53-Inputs!$B$9)=0,Inputs!$B$67,IF((2041-Inputs!$B$53-Inputs!$B$9)=1,Inputs!$B$68,Inputs!$B$69)))</f>
        <v>0.474</v>
      </c>
      <c r="T33" s="50" t="n">
        <f aca="false">IF((2042-Inputs!$B$53-Inputs!$B$9)&lt;0,0,IF((2042-Inputs!$B$53-Inputs!$B$9)=0,Inputs!$B$67,IF((2042-Inputs!$B$53-Inputs!$B$9)=1,Inputs!$B$68,Inputs!$B$69)))</f>
        <v>0.474</v>
      </c>
      <c r="U33" s="50" t="n">
        <f aca="false">IF((2043-Inputs!$B$53-Inputs!$B$9)&lt;0,0,IF((2043-Inputs!$B$53-Inputs!$B$9)=0,Inputs!$B$67,IF((2043-Inputs!$B$53-Inputs!$B$9)=1,Inputs!$B$68,Inputs!$B$69)))</f>
        <v>0.474</v>
      </c>
      <c r="V33" s="50" t="n">
        <f aca="false">IF((2044-Inputs!$B$53-Inputs!$B$9)&lt;0,0,IF((2044-Inputs!$B$53-Inputs!$B$9)=0,Inputs!$B$67,IF((2044-Inputs!$B$53-Inputs!$B$9)=1,Inputs!$B$68,Inputs!$B$69)))</f>
        <v>0.474</v>
      </c>
      <c r="W33" s="50" t="n">
        <f aca="false">IF((2045-Inputs!$B$53-Inputs!$B$9)&lt;0,0,IF((2045-Inputs!$B$53-Inputs!$B$9)=0,Inputs!$B$67,IF((2045-Inputs!$B$53-Inputs!$B$9)=1,Inputs!$B$68,Inputs!$B$69)))</f>
        <v>0.474</v>
      </c>
      <c r="X33" s="50" t="n">
        <f aca="false">IF((2046-Inputs!$B$53-Inputs!$B$9)&lt;0,0,IF((2046-Inputs!$B$53-Inputs!$B$9)=0,Inputs!$B$67,IF((2046-Inputs!$B$53-Inputs!$B$9)=1,Inputs!$B$68,Inputs!$B$69)))</f>
        <v>0.474</v>
      </c>
      <c r="Y33" s="50" t="n">
        <f aca="false">IF((2047-Inputs!$B$53-Inputs!$B$9)&lt;0,0,IF((2047-Inputs!$B$53-Inputs!$B$9)=0,Inputs!$B$67,IF((2047-Inputs!$B$53-Inputs!$B$9)=1,Inputs!$B$68,Inputs!$B$69)))</f>
        <v>0.474</v>
      </c>
      <c r="Z33" s="50" t="n">
        <f aca="false">IF((2048-Inputs!$B$53-Inputs!$B$9)&lt;0,0,IF((2048-Inputs!$B$53-Inputs!$B$9)=0,Inputs!$B$67,IF((2048-Inputs!$B$53-Inputs!$B$9)=1,Inputs!$B$68,Inputs!$B$69)))</f>
        <v>0.474</v>
      </c>
      <c r="AA33" s="50" t="n">
        <f aca="false">IF((2049-Inputs!$B$53-Inputs!$B$9)&lt;0,0,IF((2049-Inputs!$B$53-Inputs!$B$9)=0,Inputs!$B$67,IF((2049-Inputs!$B$53-Inputs!$B$9)=1,Inputs!$B$68,Inputs!$B$69)))</f>
        <v>0.474</v>
      </c>
      <c r="AB33" s="50" t="n">
        <f aca="false">IF((2050-Inputs!$B$53-Inputs!$B$9)&lt;0,0,IF((2050-Inputs!$B$53-Inputs!$B$9)=0,Inputs!$B$67,IF((2050-Inputs!$B$53-Inputs!$B$9)=1,Inputs!$B$68,Inputs!$B$69)))</f>
        <v>0.474</v>
      </c>
      <c r="AC33" s="50" t="n">
        <f aca="false">IF((2051-Inputs!$B$53-Inputs!$B$9)&lt;0,0,IF((2051-Inputs!$B$53-Inputs!$B$9)=0,Inputs!$B$67,IF((2051-Inputs!$B$53-Inputs!$B$9)=1,Inputs!$B$68,Inputs!$B$69)))</f>
        <v>0.474</v>
      </c>
      <c r="AD33" s="50" t="n">
        <f aca="false">IF((2052-Inputs!$B$53-Inputs!$B$9)&lt;0,0,IF((2052-Inputs!$B$53-Inputs!$B$9)=0,Inputs!$B$67,IF((2052-Inputs!$B$53-Inputs!$B$9)=1,Inputs!$B$68,Inputs!$B$69)))</f>
        <v>0.474</v>
      </c>
      <c r="AE33" s="50" t="n">
        <f aca="false">IF((2053-Inputs!$B$53-Inputs!$B$9)&lt;0,0,IF((2053-Inputs!$B$53-Inputs!$B$9)=0,Inputs!$B$67,IF((2053-Inputs!$B$53-Inputs!$B$9)=1,Inputs!$B$68,Inputs!$B$69)))</f>
        <v>0.474</v>
      </c>
      <c r="AF33" s="50" t="n">
        <f aca="false">IF((2054-Inputs!$B$53-Inputs!$B$9)&lt;0,0,IF((2054-Inputs!$B$53-Inputs!$B$9)=0,Inputs!$B$67,IF((2054-Inputs!$B$53-Inputs!$B$9)=1,Inputs!$B$68,Inputs!$B$69)))</f>
        <v>0.474</v>
      </c>
      <c r="AG33" s="50" t="n">
        <f aca="false">IF((2055-Inputs!$B$53-Inputs!$B$9)&lt;0,0,IF((2055-Inputs!$B$53-Inputs!$B$9)=0,Inputs!$B$67,IF((2055-Inputs!$B$53-Inputs!$B$9)=1,Inputs!$B$68,Inputs!$B$69)))</f>
        <v>0.474</v>
      </c>
      <c r="AH33" s="50" t="n">
        <f aca="false">IF((2056-Inputs!$B$53-Inputs!$B$9)&lt;0,0,IF((2056-Inputs!$B$53-Inputs!$B$9)=0,Inputs!$B$67,IF((2056-Inputs!$B$53-Inputs!$B$9)=1,Inputs!$B$68,Inputs!$B$69)))</f>
        <v>0.474</v>
      </c>
      <c r="AI33" s="50" t="n">
        <f aca="false">IF((2057-Inputs!$B$53-Inputs!$B$9)&lt;0,0,IF((2057-Inputs!$B$53-Inputs!$B$9)=0,Inputs!$B$67,IF((2057-Inputs!$B$53-Inputs!$B$9)=1,Inputs!$B$68,Inputs!$B$69)))</f>
        <v>0.474</v>
      </c>
      <c r="AJ33" s="50" t="n">
        <f aca="false">IF((2058-Inputs!$B$53-Inputs!$B$9)&lt;0,0,IF((2058-Inputs!$B$53-Inputs!$B$9)=0,Inputs!$B$67,IF((2058-Inputs!$B$53-Inputs!$B$9)=1,Inputs!$B$68,Inputs!$B$69)))</f>
        <v>0.474</v>
      </c>
      <c r="AK33" s="50" t="n">
        <f aca="false">IF((2059-Inputs!$B$53-Inputs!$B$9)&lt;0,0,IF((2059-Inputs!$B$53-Inputs!$B$9)=0,Inputs!$B$67,IF((2059-Inputs!$B$53-Inputs!$B$9)=1,Inputs!$B$68,Inputs!$B$69)))</f>
        <v>0.474</v>
      </c>
      <c r="AL33" s="50" t="n">
        <f aca="false">IF((2060-Inputs!$B$53-Inputs!$B$9)&lt;0,0,IF((2060-Inputs!$B$53-Inputs!$B$9)=0,Inputs!$B$67,IF((2060-Inputs!$B$53-Inputs!$B$9)=1,Inputs!$B$68,Inputs!$B$69)))</f>
        <v>0.474</v>
      </c>
      <c r="AM33" s="50" t="n">
        <f aca="false">IF((2061-Inputs!$B$53-Inputs!$B$9)&lt;0,0,IF((2061-Inputs!$B$53-Inputs!$B$9)=0,Inputs!$B$67,IF((2061-Inputs!$B$53-Inputs!$B$9)=1,Inputs!$B$68,Inputs!$B$69)))</f>
        <v>0.474</v>
      </c>
      <c r="AN33" s="50" t="n">
        <f aca="false">IF((2062-Inputs!$B$53-Inputs!$B$9)&lt;0,0,IF((2062-Inputs!$B$53-Inputs!$B$9)=0,Inputs!$B$67,IF((2062-Inputs!$B$53-Inputs!$B$9)=1,Inputs!$B$68,Inputs!$B$69)))</f>
        <v>0.474</v>
      </c>
      <c r="AO33" s="50" t="n">
        <f aca="false">IF((2063-Inputs!$B$53-Inputs!$B$9)&lt;0,0,IF((2063-Inputs!$B$53-Inputs!$B$9)=0,Inputs!$B$67,IF((2063-Inputs!$B$53-Inputs!$B$9)=1,Inputs!$B$68,Inputs!$B$69)))</f>
        <v>0.474</v>
      </c>
      <c r="AP33" s="50" t="n">
        <f aca="false">IF((2064-Inputs!$B$53-Inputs!$B$9)&lt;0,0,IF((2064-Inputs!$B$53-Inputs!$B$9)=0,Inputs!$B$67,IF((2064-Inputs!$B$53-Inputs!$B$9)=1,Inputs!$B$68,Inputs!$B$69)))</f>
        <v>0.474</v>
      </c>
      <c r="AQ33" s="50" t="n">
        <f aca="false">IF((2065-Inputs!$B$53-Inputs!$B$9)&lt;0,0,IF((2065-Inputs!$B$53-Inputs!$B$9)=0,Inputs!$B$67,IF((2065-Inputs!$B$53-Inputs!$B$9)=1,Inputs!$B$68,Inputs!$B$69)))</f>
        <v>0.474</v>
      </c>
      <c r="AR33" s="50" t="n">
        <f aca="false">IF((2066-Inputs!$B$53-Inputs!$B$9)&lt;0,0,IF((2066-Inputs!$B$53-Inputs!$B$9)=0,Inputs!$B$67,IF((2066-Inputs!$B$53-Inputs!$B$9)=1,Inputs!$B$68,Inputs!$B$69)))</f>
        <v>0.474</v>
      </c>
      <c r="AS33" s="50" t="n">
        <f aca="false">IF((2067-Inputs!$B$53-Inputs!$B$9)&lt;0,0,IF((2067-Inputs!$B$53-Inputs!$B$9)=0,Inputs!$B$67,IF((2067-Inputs!$B$53-Inputs!$B$9)=1,Inputs!$B$68,Inputs!$B$69)))</f>
        <v>0.474</v>
      </c>
      <c r="AT33" s="50" t="n">
        <f aca="false">IF((2068-Inputs!$B$53-Inputs!$B$9)&lt;0,0,IF((2068-Inputs!$B$53-Inputs!$B$9)=0,Inputs!$B$67,IF((2068-Inputs!$B$53-Inputs!$B$9)=1,Inputs!$B$68,Inputs!$B$69)))</f>
        <v>0.474</v>
      </c>
      <c r="AU33" s="50" t="n">
        <f aca="false">IF((2069-Inputs!$B$53-Inputs!$B$9)&lt;0,0,IF((2069-Inputs!$B$53-Inputs!$B$9)=0,Inputs!$B$67,IF((2069-Inputs!$B$53-Inputs!$B$9)=1,Inputs!$B$68,Inputs!$B$69)))</f>
        <v>0.474</v>
      </c>
      <c r="AV33" s="50" t="n">
        <f aca="false">IF((2070-Inputs!$B$53-Inputs!$B$9)&lt;0,0,IF((2070-Inputs!$B$53-Inputs!$B$9)=0,Inputs!$B$67,IF((2070-Inputs!$B$53-Inputs!$B$9)=1,Inputs!$B$68,Inputs!$B$69)))</f>
        <v>0.474</v>
      </c>
      <c r="AW33" s="50" t="n">
        <f aca="false">IF((2071-Inputs!$B$53-Inputs!$B$9)&lt;0,0,IF((2071-Inputs!$B$53-Inputs!$B$9)=0,Inputs!$B$67,IF((2071-Inputs!$B$53-Inputs!$B$9)=1,Inputs!$B$68,Inputs!$B$69)))</f>
        <v>0.474</v>
      </c>
      <c r="AX33" s="50" t="n">
        <f aca="false">IF((2072-Inputs!$B$53-Inputs!$B$9)&lt;0,0,IF((2072-Inputs!$B$53-Inputs!$B$9)=0,Inputs!$B$67,IF((2072-Inputs!$B$53-Inputs!$B$9)=1,Inputs!$B$68,Inputs!$B$69)))</f>
        <v>0.474</v>
      </c>
      <c r="AY33" s="50" t="n">
        <f aca="false">IF((2073-Inputs!$B$53-Inputs!$B$9)&lt;0,0,IF((2073-Inputs!$B$53-Inputs!$B$9)=0,Inputs!$B$67,IF((2073-Inputs!$B$53-Inputs!$B$9)=1,Inputs!$B$68,Inputs!$B$69)))</f>
        <v>0.474</v>
      </c>
      <c r="AZ33" s="50" t="n">
        <f aca="false">IF((2074-Inputs!$B$53-Inputs!$B$9)&lt;0,0,IF((2074-Inputs!$B$53-Inputs!$B$9)=0,Inputs!$B$67,IF((2074-Inputs!$B$53-Inputs!$B$9)=1,Inputs!$B$68,Inputs!$B$69)))</f>
        <v>0.474</v>
      </c>
    </row>
    <row r="34" customFormat="false" ht="15" hidden="false" customHeight="true" outlineLevel="0" collapsed="false">
      <c r="A34" s="13" t="s">
        <v>406</v>
      </c>
      <c r="C34" s="41" t="n">
        <f aca="false">SUM(D34:AZ34)</f>
        <v>3783.62075260165</v>
      </c>
      <c r="D34" s="41" t="n">
        <f aca="false">D31*D33</f>
        <v>0</v>
      </c>
      <c r="E34" s="41" t="n">
        <f aca="false">E31*E33</f>
        <v>0</v>
      </c>
      <c r="F34" s="41" t="n">
        <f aca="false">F31*F33</f>
        <v>0</v>
      </c>
      <c r="G34" s="41" t="n">
        <f aca="false">G31*G33</f>
        <v>20.5262925209832</v>
      </c>
      <c r="H34" s="41" t="n">
        <f aca="false">H31*H33</f>
        <v>46.0363542106547</v>
      </c>
      <c r="I34" s="41" t="n">
        <f aca="false">I31*I33</f>
        <v>50.8200138554034</v>
      </c>
      <c r="J34" s="41" t="n">
        <f aca="false">J31*J33</f>
        <v>51.9431361616078</v>
      </c>
      <c r="K34" s="41" t="n">
        <f aca="false">K31*K33</f>
        <v>53.0910794707794</v>
      </c>
      <c r="L34" s="41" t="n">
        <f aca="false">L31*L33</f>
        <v>54.2643923270836</v>
      </c>
      <c r="M34" s="41" t="n">
        <f aca="false">M31*M33</f>
        <v>55.4636353975121</v>
      </c>
      <c r="N34" s="41" t="n">
        <f aca="false">N31*N33</f>
        <v>56.6893817397972</v>
      </c>
      <c r="O34" s="41" t="n">
        <f aca="false">O31*O33</f>
        <v>57.9422170762467</v>
      </c>
      <c r="P34" s="41" t="n">
        <f aca="false">P31*P33</f>
        <v>59.2227400736317</v>
      </c>
      <c r="Q34" s="41" t="n">
        <f aca="false">Q31*Q33</f>
        <v>60.531562629259</v>
      </c>
      <c r="R34" s="41" t="n">
        <f aca="false">R31*R33</f>
        <v>61.8693101633656</v>
      </c>
      <c r="S34" s="41" t="n">
        <f aca="false">S31*S33</f>
        <v>63.236621917976</v>
      </c>
      <c r="T34" s="41" t="n">
        <f aca="false">T31*T33</f>
        <v>64.6341512623633</v>
      </c>
      <c r="U34" s="41" t="n">
        <f aca="false">U31*U33</f>
        <v>66.0625660052615</v>
      </c>
      <c r="V34" s="41" t="n">
        <f aca="false">V31*V33</f>
        <v>67.5225487139778</v>
      </c>
      <c r="W34" s="41" t="n">
        <f aca="false">W31*W33</f>
        <v>69.0147970405567</v>
      </c>
      <c r="X34" s="41" t="n">
        <f aca="false">X31*X33</f>
        <v>70.540024055153</v>
      </c>
      <c r="Y34" s="41" t="n">
        <f aca="false">Y31*Y33</f>
        <v>72.0989585867719</v>
      </c>
      <c r="Z34" s="41" t="n">
        <f aca="false">Z31*Z33</f>
        <v>73.6923455715395</v>
      </c>
      <c r="AA34" s="41" t="n">
        <f aca="false">AA31*AA33</f>
        <v>75.3209464086706</v>
      </c>
      <c r="AB34" s="41" t="n">
        <f aca="false">AB31*AB33</f>
        <v>76.9855393243022</v>
      </c>
      <c r="AC34" s="41" t="n">
        <f aca="false">AC31*AC33</f>
        <v>78.6869197433692</v>
      </c>
      <c r="AD34" s="41" t="n">
        <f aca="false">AD31*AD33</f>
        <v>80.4259006696977</v>
      </c>
      <c r="AE34" s="41" t="n">
        <f aca="false">AE31*AE33</f>
        <v>82.203313074498</v>
      </c>
      <c r="AF34" s="41" t="n">
        <f aca="false">AF31*AF33</f>
        <v>84.0200062934444</v>
      </c>
      <c r="AG34" s="41" t="n">
        <f aca="false">AG31*AG33</f>
        <v>85.8768484325296</v>
      </c>
      <c r="AH34" s="41" t="n">
        <f aca="false">AH31*AH33</f>
        <v>87.7747267828885</v>
      </c>
      <c r="AI34" s="41" t="n">
        <f aca="false">AI31*AI33</f>
        <v>89.7145482447903</v>
      </c>
      <c r="AJ34" s="41" t="n">
        <f aca="false">AJ31*AJ33</f>
        <v>91.6972397610002</v>
      </c>
      <c r="AK34" s="41" t="n">
        <f aca="false">AK31*AK33</f>
        <v>93.7237487597183</v>
      </c>
      <c r="AL34" s="41" t="n">
        <f aca="false">AL31*AL33</f>
        <v>95.7950436073081</v>
      </c>
      <c r="AM34" s="41" t="n">
        <f aca="false">AM31*AM33</f>
        <v>97.9121140710295</v>
      </c>
      <c r="AN34" s="41" t="n">
        <f aca="false">AN31*AN33</f>
        <v>100.075971791999</v>
      </c>
      <c r="AO34" s="41" t="n">
        <f aca="false">AO31*AO33</f>
        <v>102.287650768602</v>
      </c>
      <c r="AP34" s="41" t="n">
        <f aca="false">AP31*AP33</f>
        <v>104.548207850589</v>
      </c>
      <c r="AQ34" s="41" t="n">
        <f aca="false">AQ31*AQ33</f>
        <v>106.858723244087</v>
      </c>
      <c r="AR34" s="41" t="n">
        <f aca="false">AR31*AR33</f>
        <v>109.220301027781</v>
      </c>
      <c r="AS34" s="41" t="n">
        <f aca="false">AS31*AS33</f>
        <v>111.634069680495</v>
      </c>
      <c r="AT34" s="41" t="n">
        <f aca="false">AT31*AT33</f>
        <v>114.101182620434</v>
      </c>
      <c r="AU34" s="41" t="n">
        <f aca="false">AU31*AU33</f>
        <v>116.622818756345</v>
      </c>
      <c r="AV34" s="41" t="n">
        <f aca="false">AV31*AV33</f>
        <v>119.200183050861</v>
      </c>
      <c r="AW34" s="41" t="n">
        <f aca="false">AW31*AW33</f>
        <v>121.834507096285</v>
      </c>
      <c r="AX34" s="41" t="n">
        <f aca="false">AX31*AX33</f>
        <v>124.527049703113</v>
      </c>
      <c r="AY34" s="41" t="n">
        <f aca="false">AY31*AY33</f>
        <v>127.279097501551</v>
      </c>
      <c r="AZ34" s="41" t="n">
        <f aca="false">AZ31*AZ33</f>
        <v>130.091965556336</v>
      </c>
    </row>
    <row r="35" customFormat="false" ht="15" hidden="false" customHeight="true" outlineLevel="0" collapsed="false">
      <c r="A35" s="13" t="s">
        <v>407</v>
      </c>
      <c r="C35" s="41" t="n">
        <f aca="false">SUM(D35:AZ35)</f>
        <v>-861.863397965811</v>
      </c>
      <c r="D35" s="41" t="n">
        <f aca="false">-(D31*(Inputs!$B$70+Inputs!$B$72)+D34*Inputs!$B$71)</f>
        <v>-0</v>
      </c>
      <c r="E35" s="41" t="n">
        <f aca="false">-(E31*(Inputs!$B$70+Inputs!$B$72)+E34*Inputs!$B$71)</f>
        <v>-0</v>
      </c>
      <c r="F35" s="41" t="n">
        <f aca="false">-(F31*(Inputs!$B$70+Inputs!$B$72)+F34*Inputs!$B$71)</f>
        <v>-0</v>
      </c>
      <c r="G35" s="41" t="n">
        <f aca="false">-(G31*(Inputs!$B$70+Inputs!$B$72)+G34*Inputs!$B$71)</f>
        <v>-4.89287371043166</v>
      </c>
      <c r="H35" s="41" t="n">
        <f aca="false">-(H31*(Inputs!$B$70+Inputs!$B$72)+H34*Inputs!$B$71)</f>
        <v>-10.6732441172121</v>
      </c>
      <c r="I35" s="41" t="n">
        <f aca="false">-(I31*(Inputs!$B$70+Inputs!$B$72)+I34*Inputs!$B$71)</f>
        <v>-11.5706664457281</v>
      </c>
      <c r="J35" s="41" t="n">
        <f aca="false">-(J31*(Inputs!$B$70+Inputs!$B$72)+J34*Inputs!$B$71)</f>
        <v>-11.8263781741787</v>
      </c>
      <c r="K35" s="41" t="n">
        <f aca="false">-(K31*(Inputs!$B$70+Inputs!$B$72)+K34*Inputs!$B$71)</f>
        <v>-12.0877411318281</v>
      </c>
      <c r="L35" s="41" t="n">
        <f aca="false">-(L31*(Inputs!$B$70+Inputs!$B$72)+L34*Inputs!$B$71)</f>
        <v>-12.3548802108415</v>
      </c>
      <c r="M35" s="41" t="n">
        <f aca="false">-(M31*(Inputs!$B$70+Inputs!$B$72)+M34*Inputs!$B$71)</f>
        <v>-12.6279230635011</v>
      </c>
      <c r="N35" s="41" t="n">
        <f aca="false">-(N31*(Inputs!$B$70+Inputs!$B$72)+N34*Inputs!$B$71)</f>
        <v>-12.9070001632045</v>
      </c>
      <c r="O35" s="41" t="n">
        <f aca="false">-(O31*(Inputs!$B$70+Inputs!$B$72)+O34*Inputs!$B$71)</f>
        <v>-13.1922448668113</v>
      </c>
      <c r="P35" s="41" t="n">
        <f aca="false">-(P31*(Inputs!$B$70+Inputs!$B$72)+P34*Inputs!$B$71)</f>
        <v>-13.4837934783678</v>
      </c>
      <c r="Q35" s="41" t="n">
        <f aca="false">-(Q31*(Inputs!$B$70+Inputs!$B$72)+Q34*Inputs!$B$71)</f>
        <v>-13.7817853142397</v>
      </c>
      <c r="R35" s="41" t="n">
        <f aca="false">-(R31*(Inputs!$B$70+Inputs!$B$72)+R34*Inputs!$B$71)</f>
        <v>-14.0863627696844</v>
      </c>
      <c r="S35" s="41" t="n">
        <f aca="false">-(S31*(Inputs!$B$70+Inputs!$B$72)+S34*Inputs!$B$71)</f>
        <v>-14.3976713868945</v>
      </c>
      <c r="T35" s="41" t="n">
        <f aca="false">-(T31*(Inputs!$B$70+Inputs!$B$72)+T34*Inputs!$B$71)</f>
        <v>-14.7158599245448</v>
      </c>
      <c r="U35" s="41" t="n">
        <f aca="false">-(U31*(Inputs!$B$70+Inputs!$B$72)+U34*Inputs!$B$71)</f>
        <v>-15.0410804288773</v>
      </c>
      <c r="V35" s="41" t="n">
        <f aca="false">-(V31*(Inputs!$B$70+Inputs!$B$72)+V34*Inputs!$B$71)</f>
        <v>-15.3734883063554</v>
      </c>
      <c r="W35" s="41" t="n">
        <f aca="false">-(W31*(Inputs!$B$70+Inputs!$B$72)+W34*Inputs!$B$71)</f>
        <v>-15.7132423979259</v>
      </c>
      <c r="X35" s="41" t="n">
        <f aca="false">-(X31*(Inputs!$B$70+Inputs!$B$72)+X34*Inputs!$B$71)</f>
        <v>-16.0605050549201</v>
      </c>
      <c r="Y35" s="41" t="n">
        <f aca="false">-(Y31*(Inputs!$B$70+Inputs!$B$72)+Y34*Inputs!$B$71)</f>
        <v>-16.4154422166338</v>
      </c>
      <c r="Z35" s="41" t="n">
        <f aca="false">-(Z31*(Inputs!$B$70+Inputs!$B$72)+Z34*Inputs!$B$71)</f>
        <v>-16.7782234896214</v>
      </c>
      <c r="AA35" s="41" t="n">
        <f aca="false">-(AA31*(Inputs!$B$70+Inputs!$B$72)+AA34*Inputs!$B$71)</f>
        <v>-17.149022228742</v>
      </c>
      <c r="AB35" s="41" t="n">
        <f aca="false">-(AB31*(Inputs!$B$70+Inputs!$B$72)+AB34*Inputs!$B$71)</f>
        <v>-17.5280156199972</v>
      </c>
      <c r="AC35" s="41" t="n">
        <f aca="false">-(AC31*(Inputs!$B$70+Inputs!$B$72)+AC34*Inputs!$B$71)</f>
        <v>-17.9153847651992</v>
      </c>
      <c r="AD35" s="41" t="n">
        <f aca="false">-(AD31*(Inputs!$B$70+Inputs!$B$72)+AD34*Inputs!$B$71)</f>
        <v>-18.3113147685101</v>
      </c>
      <c r="AE35" s="41" t="n">
        <f aca="false">-(AE31*(Inputs!$B$70+Inputs!$B$72)+AE34*Inputs!$B$71)</f>
        <v>-18.7159948248942</v>
      </c>
      <c r="AF35" s="41" t="n">
        <f aca="false">-(AF31*(Inputs!$B$70+Inputs!$B$72)+AF34*Inputs!$B$71)</f>
        <v>-19.1296183105243</v>
      </c>
      <c r="AG35" s="41" t="n">
        <f aca="false">-(AG31*(Inputs!$B$70+Inputs!$B$72)+AG34*Inputs!$B$71)</f>
        <v>-19.5523828751869</v>
      </c>
      <c r="AH35" s="41" t="n">
        <f aca="false">-(AH31*(Inputs!$B$70+Inputs!$B$72)+AH34*Inputs!$B$71)</f>
        <v>-19.9844905367285</v>
      </c>
      <c r="AI35" s="41" t="n">
        <f aca="false">-(AI31*(Inputs!$B$70+Inputs!$B$72)+AI34*Inputs!$B$71)</f>
        <v>-20.4261477775902</v>
      </c>
      <c r="AJ35" s="41" t="n">
        <f aca="false">-(AJ31*(Inputs!$B$70+Inputs!$B$72)+AJ34*Inputs!$B$71)</f>
        <v>-20.877565643475</v>
      </c>
      <c r="AK35" s="41" t="n">
        <f aca="false">-(AK31*(Inputs!$B$70+Inputs!$B$72)+AK34*Inputs!$B$71)</f>
        <v>-21.3389598441958</v>
      </c>
      <c r="AL35" s="41" t="n">
        <f aca="false">-(AL31*(Inputs!$B$70+Inputs!$B$72)+AL34*Inputs!$B$71)</f>
        <v>-21.8105508567525</v>
      </c>
      <c r="AM35" s="41" t="n">
        <f aca="false">-(AM31*(Inputs!$B$70+Inputs!$B$72)+AM34*Inputs!$B$71)</f>
        <v>-22.2925640306867</v>
      </c>
      <c r="AN35" s="41" t="n">
        <f aca="false">-(AN31*(Inputs!$B$70+Inputs!$B$72)+AN34*Inputs!$B$71)</f>
        <v>-22.7852296957649</v>
      </c>
      <c r="AO35" s="41" t="n">
        <f aca="false">-(AO31*(Inputs!$B$70+Inputs!$B$72)+AO34*Inputs!$B$71)</f>
        <v>-23.2887832720413</v>
      </c>
      <c r="AP35" s="41" t="n">
        <f aca="false">-(AP31*(Inputs!$B$70+Inputs!$B$72)+AP34*Inputs!$B$71)</f>
        <v>-23.8034653823534</v>
      </c>
      <c r="AQ35" s="41" t="n">
        <f aca="false">-(AQ31*(Inputs!$B$70+Inputs!$B$72)+AQ34*Inputs!$B$71)</f>
        <v>-24.3295219673034</v>
      </c>
      <c r="AR35" s="41" t="n">
        <f aca="false">-(AR31*(Inputs!$B$70+Inputs!$B$72)+AR34*Inputs!$B$71)</f>
        <v>-24.8672044027808</v>
      </c>
      <c r="AS35" s="41" t="n">
        <f aca="false">-(AS31*(Inputs!$B$70+Inputs!$B$72)+AS34*Inputs!$B$71)</f>
        <v>-25.4167696200823</v>
      </c>
      <c r="AT35" s="41" t="n">
        <f aca="false">-(AT31*(Inputs!$B$70+Inputs!$B$72)+AT34*Inputs!$B$71)</f>
        <v>-25.9784802286861</v>
      </c>
      <c r="AU35" s="41" t="n">
        <f aca="false">-(AU31*(Inputs!$B$70+Inputs!$B$72)+AU34*Inputs!$B$71)</f>
        <v>-26.5526046417401</v>
      </c>
      <c r="AV35" s="41" t="n">
        <f aca="false">-(AV31*(Inputs!$B$70+Inputs!$B$72)+AV34*Inputs!$B$71)</f>
        <v>-27.1394172043225</v>
      </c>
      <c r="AW35" s="41" t="n">
        <f aca="false">-(AW31*(Inputs!$B$70+Inputs!$B$72)+AW34*Inputs!$B$71)</f>
        <v>-27.7391983245381</v>
      </c>
      <c r="AX35" s="41" t="n">
        <f aca="false">-(AX31*(Inputs!$B$70+Inputs!$B$72)+AX34*Inputs!$B$71)</f>
        <v>-28.3522346075104</v>
      </c>
      <c r="AY35" s="41" t="n">
        <f aca="false">-(AY31*(Inputs!$B$70+Inputs!$B$72)+AY34*Inputs!$B$71)</f>
        <v>-28.9788189923363</v>
      </c>
      <c r="AZ35" s="41" t="n">
        <f aca="false">-(AZ31*(Inputs!$B$70+Inputs!$B$72)+AZ34*Inputs!$B$71)</f>
        <v>-29.619250892067</v>
      </c>
    </row>
    <row r="36" customFormat="false" ht="15" hidden="false" customHeight="true" outlineLevel="0" collapsed="false">
      <c r="A36" s="6" t="s">
        <v>598</v>
      </c>
      <c r="C36" s="44" t="n">
        <f aca="false">SUM(D36:AZ36)</f>
        <v>2921.75735463584</v>
      </c>
      <c r="D36" s="44" t="n">
        <f aca="false">D34+D35</f>
        <v>0</v>
      </c>
      <c r="E36" s="44" t="n">
        <f aca="false">E34+E35</f>
        <v>0</v>
      </c>
      <c r="F36" s="44" t="n">
        <f aca="false">F34+F35</f>
        <v>0</v>
      </c>
      <c r="G36" s="44" t="n">
        <f aca="false">G34+G35</f>
        <v>15.6334188105516</v>
      </c>
      <c r="H36" s="44" t="n">
        <f aca="false">H34+H35</f>
        <v>35.3631100934426</v>
      </c>
      <c r="I36" s="44" t="n">
        <f aca="false">I34+I35</f>
        <v>39.2493474096753</v>
      </c>
      <c r="J36" s="44" t="n">
        <f aca="false">J34+J35</f>
        <v>40.1167579874291</v>
      </c>
      <c r="K36" s="44" t="n">
        <f aca="false">K34+K35</f>
        <v>41.0033383389513</v>
      </c>
      <c r="L36" s="44" t="n">
        <f aca="false">L34+L35</f>
        <v>41.9095121162421</v>
      </c>
      <c r="M36" s="44" t="n">
        <f aca="false">M34+M35</f>
        <v>42.8357123340111</v>
      </c>
      <c r="N36" s="44" t="n">
        <f aca="false">N34+N35</f>
        <v>43.7823815765927</v>
      </c>
      <c r="O36" s="44" t="n">
        <f aca="false">O34+O35</f>
        <v>44.7499722094354</v>
      </c>
      <c r="P36" s="44" t="n">
        <f aca="false">P34+P35</f>
        <v>45.7389465952639</v>
      </c>
      <c r="Q36" s="44" t="n">
        <f aca="false">Q34+Q35</f>
        <v>46.7497773150193</v>
      </c>
      <c r="R36" s="44" t="n">
        <f aca="false">R34+R35</f>
        <v>47.7829473936812</v>
      </c>
      <c r="S36" s="44" t="n">
        <f aca="false">S34+S35</f>
        <v>48.8389505310815</v>
      </c>
      <c r="T36" s="44" t="n">
        <f aca="false">T34+T35</f>
        <v>49.9182913378184</v>
      </c>
      <c r="U36" s="44" t="n">
        <f aca="false">U34+U35</f>
        <v>51.0214855763842</v>
      </c>
      <c r="V36" s="44" t="n">
        <f aca="false">V34+V35</f>
        <v>52.1490604076223</v>
      </c>
      <c r="W36" s="44" t="n">
        <f aca="false">W34+W35</f>
        <v>53.3015546426308</v>
      </c>
      <c r="X36" s="44" t="n">
        <f aca="false">X34+X35</f>
        <v>54.4795190002329</v>
      </c>
      <c r="Y36" s="44" t="n">
        <f aca="false">Y34+Y35</f>
        <v>55.6835163701381</v>
      </c>
      <c r="Z36" s="44" t="n">
        <f aca="false">Z34+Z35</f>
        <v>56.9141220819181</v>
      </c>
      <c r="AA36" s="44" t="n">
        <f aca="false">AA34+AA35</f>
        <v>58.1719241799285</v>
      </c>
      <c r="AB36" s="44" t="n">
        <f aca="false">AB34+AB35</f>
        <v>59.4575237043049</v>
      </c>
      <c r="AC36" s="44" t="n">
        <f aca="false">AC34+AC35</f>
        <v>60.7715349781701</v>
      </c>
      <c r="AD36" s="44" t="n">
        <f aca="false">AD34+AD35</f>
        <v>62.1145859011876</v>
      </c>
      <c r="AE36" s="44" t="n">
        <f aca="false">AE34+AE35</f>
        <v>63.4873182496039</v>
      </c>
      <c r="AF36" s="44" t="n">
        <f aca="false">AF34+AF35</f>
        <v>64.8903879829201</v>
      </c>
      <c r="AG36" s="44" t="n">
        <f aca="false">AG34+AG35</f>
        <v>66.3244655573427</v>
      </c>
      <c r="AH36" s="44" t="n">
        <f aca="false">AH34+AH35</f>
        <v>67.7902362461599</v>
      </c>
      <c r="AI36" s="44" t="n">
        <f aca="false">AI34+AI35</f>
        <v>69.2884004672001</v>
      </c>
      <c r="AJ36" s="44" t="n">
        <f aca="false">AJ34+AJ35</f>
        <v>70.8196741175252</v>
      </c>
      <c r="AK36" s="44" t="n">
        <f aca="false">AK34+AK35</f>
        <v>72.3847889155225</v>
      </c>
      <c r="AL36" s="44" t="n">
        <f aca="false">AL34+AL35</f>
        <v>73.9844927505556</v>
      </c>
      <c r="AM36" s="44" t="n">
        <f aca="false">AM34+AM35</f>
        <v>75.6195500403428</v>
      </c>
      <c r="AN36" s="44" t="n">
        <f aca="false">AN34+AN35</f>
        <v>77.2907420962344</v>
      </c>
      <c r="AO36" s="44" t="n">
        <f aca="false">AO34+AO35</f>
        <v>78.9988674965612</v>
      </c>
      <c r="AP36" s="44" t="n">
        <f aca="false">AP34+AP35</f>
        <v>80.7447424682352</v>
      </c>
      <c r="AQ36" s="44" t="n">
        <f aca="false">AQ34+AQ35</f>
        <v>82.5292012767832</v>
      </c>
      <c r="AR36" s="44" t="n">
        <f aca="false">AR34+AR35</f>
        <v>84.3530966250001</v>
      </c>
      <c r="AS36" s="44" t="n">
        <f aca="false">AS34+AS35</f>
        <v>86.2173000604126</v>
      </c>
      <c r="AT36" s="44" t="n">
        <f aca="false">AT34+AT35</f>
        <v>88.1227023917477</v>
      </c>
      <c r="AU36" s="44" t="n">
        <f aca="false">AU34+AU35</f>
        <v>90.0702141146053</v>
      </c>
      <c r="AV36" s="44" t="n">
        <f aca="false">AV34+AV35</f>
        <v>92.0607658465381</v>
      </c>
      <c r="AW36" s="44" t="n">
        <f aca="false">AW34+AW35</f>
        <v>94.0953087717466</v>
      </c>
      <c r="AX36" s="44" t="n">
        <f aca="false">AX34+AX35</f>
        <v>96.1748150956022</v>
      </c>
      <c r="AY36" s="44" t="n">
        <f aca="false">AY34+AY35</f>
        <v>98.300278509215</v>
      </c>
      <c r="AZ36" s="44" t="n">
        <f aca="false">AZ34+AZ35</f>
        <v>100.472714664269</v>
      </c>
    </row>
    <row r="38" customFormat="false" ht="15" hidden="false" customHeight="true" outlineLevel="0" collapsed="false">
      <c r="A38" s="11" t="s">
        <v>599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</row>
    <row r="39" customFormat="false" ht="15" hidden="false" customHeight="true" outlineLevel="0" collapsed="false">
      <c r="A39" s="13" t="s">
        <v>600</v>
      </c>
      <c r="C39" s="41" t="n">
        <f aca="false">SUM(D39:AZ39)</f>
        <v>0</v>
      </c>
      <c r="D39" s="41" t="n">
        <f aca="false">-D31*Inputs!$B$13*Inputs!$B$14</f>
        <v>-0</v>
      </c>
      <c r="E39" s="41" t="n">
        <f aca="false">-E31*Inputs!$B$13*Inputs!$B$14</f>
        <v>-0</v>
      </c>
      <c r="F39" s="41" t="n">
        <f aca="false">-F31*Inputs!$B$13*Inputs!$B$14</f>
        <v>-0</v>
      </c>
      <c r="G39" s="41" t="n">
        <f aca="false">-G31*Inputs!$B$13*Inputs!$B$14</f>
        <v>-0</v>
      </c>
      <c r="H39" s="41" t="n">
        <f aca="false">-H31*Inputs!$B$13*Inputs!$B$14</f>
        <v>-0</v>
      </c>
      <c r="I39" s="41" t="n">
        <f aca="false">-I31*Inputs!$B$13*Inputs!$B$14</f>
        <v>-0</v>
      </c>
      <c r="J39" s="41" t="n">
        <f aca="false">-J31*Inputs!$B$13*Inputs!$B$14</f>
        <v>-0</v>
      </c>
      <c r="K39" s="41" t="n">
        <f aca="false">-K31*Inputs!$B$13*Inputs!$B$14</f>
        <v>-0</v>
      </c>
      <c r="L39" s="41" t="n">
        <f aca="false">-L31*Inputs!$B$13*Inputs!$B$14</f>
        <v>-0</v>
      </c>
      <c r="M39" s="41" t="n">
        <f aca="false">-M31*Inputs!$B$13*Inputs!$B$14</f>
        <v>-0</v>
      </c>
      <c r="N39" s="41" t="n">
        <f aca="false">-N31*Inputs!$B$13*Inputs!$B$14</f>
        <v>-0</v>
      </c>
      <c r="O39" s="41" t="n">
        <f aca="false">-O31*Inputs!$B$13*Inputs!$B$14</f>
        <v>-0</v>
      </c>
      <c r="P39" s="41" t="n">
        <f aca="false">-P31*Inputs!$B$13*Inputs!$B$14</f>
        <v>-0</v>
      </c>
      <c r="Q39" s="41" t="n">
        <f aca="false">-Q31*Inputs!$B$13*Inputs!$B$14</f>
        <v>-0</v>
      </c>
      <c r="R39" s="41" t="n">
        <f aca="false">-R31*Inputs!$B$13*Inputs!$B$14</f>
        <v>-0</v>
      </c>
      <c r="S39" s="41" t="n">
        <f aca="false">-S31*Inputs!$B$13*Inputs!$B$14</f>
        <v>-0</v>
      </c>
      <c r="T39" s="41" t="n">
        <f aca="false">-T31*Inputs!$B$13*Inputs!$B$14</f>
        <v>-0</v>
      </c>
      <c r="U39" s="41" t="n">
        <f aca="false">-U31*Inputs!$B$13*Inputs!$B$14</f>
        <v>-0</v>
      </c>
      <c r="V39" s="41" t="n">
        <f aca="false">-V31*Inputs!$B$13*Inputs!$B$14</f>
        <v>-0</v>
      </c>
      <c r="W39" s="41" t="n">
        <f aca="false">-W31*Inputs!$B$13*Inputs!$B$14</f>
        <v>-0</v>
      </c>
      <c r="X39" s="41" t="n">
        <f aca="false">-X31*Inputs!$B$13*Inputs!$B$14</f>
        <v>-0</v>
      </c>
      <c r="Y39" s="41" t="n">
        <f aca="false">-Y31*Inputs!$B$13*Inputs!$B$14</f>
        <v>-0</v>
      </c>
      <c r="Z39" s="41" t="n">
        <f aca="false">-Z31*Inputs!$B$13*Inputs!$B$14</f>
        <v>-0</v>
      </c>
      <c r="AA39" s="41" t="n">
        <f aca="false">-AA31*Inputs!$B$13*Inputs!$B$14</f>
        <v>-0</v>
      </c>
      <c r="AB39" s="41" t="n">
        <f aca="false">-AB31*Inputs!$B$13*Inputs!$B$14</f>
        <v>-0</v>
      </c>
      <c r="AC39" s="41" t="n">
        <f aca="false">-AC31*Inputs!$B$13*Inputs!$B$14</f>
        <v>-0</v>
      </c>
      <c r="AD39" s="41" t="n">
        <f aca="false">-AD31*Inputs!$B$13*Inputs!$B$14</f>
        <v>-0</v>
      </c>
      <c r="AE39" s="41" t="n">
        <f aca="false">-AE31*Inputs!$B$13*Inputs!$B$14</f>
        <v>-0</v>
      </c>
      <c r="AF39" s="41" t="n">
        <f aca="false">-AF31*Inputs!$B$13*Inputs!$B$14</f>
        <v>-0</v>
      </c>
      <c r="AG39" s="41" t="n">
        <f aca="false">-AG31*Inputs!$B$13*Inputs!$B$14</f>
        <v>-0</v>
      </c>
      <c r="AH39" s="41" t="n">
        <f aca="false">-AH31*Inputs!$B$13*Inputs!$B$14</f>
        <v>-0</v>
      </c>
      <c r="AI39" s="41" t="n">
        <f aca="false">-AI31*Inputs!$B$13*Inputs!$B$14</f>
        <v>-0</v>
      </c>
      <c r="AJ39" s="41" t="n">
        <f aca="false">-AJ31*Inputs!$B$13*Inputs!$B$14</f>
        <v>-0</v>
      </c>
      <c r="AK39" s="41" t="n">
        <f aca="false">-AK31*Inputs!$B$13*Inputs!$B$14</f>
        <v>-0</v>
      </c>
      <c r="AL39" s="41" t="n">
        <f aca="false">-AL31*Inputs!$B$13*Inputs!$B$14</f>
        <v>-0</v>
      </c>
      <c r="AM39" s="41" t="n">
        <f aca="false">-AM31*Inputs!$B$13*Inputs!$B$14</f>
        <v>-0</v>
      </c>
      <c r="AN39" s="41" t="n">
        <f aca="false">-AN31*Inputs!$B$13*Inputs!$B$14</f>
        <v>-0</v>
      </c>
      <c r="AO39" s="41" t="n">
        <f aca="false">-AO31*Inputs!$B$13*Inputs!$B$14</f>
        <v>-0</v>
      </c>
      <c r="AP39" s="41" t="n">
        <f aca="false">-AP31*Inputs!$B$13*Inputs!$B$14</f>
        <v>-0</v>
      </c>
      <c r="AQ39" s="41" t="n">
        <f aca="false">-AQ31*Inputs!$B$13*Inputs!$B$14</f>
        <v>-0</v>
      </c>
      <c r="AR39" s="41" t="n">
        <f aca="false">-AR31*Inputs!$B$13*Inputs!$B$14</f>
        <v>-0</v>
      </c>
      <c r="AS39" s="41" t="n">
        <f aca="false">-AS31*Inputs!$B$13*Inputs!$B$14</f>
        <v>-0</v>
      </c>
      <c r="AT39" s="41" t="n">
        <f aca="false">-AT31*Inputs!$B$13*Inputs!$B$14</f>
        <v>-0</v>
      </c>
      <c r="AU39" s="41" t="n">
        <f aca="false">-AU31*Inputs!$B$13*Inputs!$B$14</f>
        <v>-0</v>
      </c>
      <c r="AV39" s="41" t="n">
        <f aca="false">-AV31*Inputs!$B$13*Inputs!$B$14</f>
        <v>-0</v>
      </c>
      <c r="AW39" s="41" t="n">
        <f aca="false">-AW31*Inputs!$B$13*Inputs!$B$14</f>
        <v>-0</v>
      </c>
      <c r="AX39" s="41" t="n">
        <f aca="false">-AX31*Inputs!$B$13*Inputs!$B$14</f>
        <v>-0</v>
      </c>
      <c r="AY39" s="41" t="n">
        <f aca="false">-AY31*Inputs!$B$13*Inputs!$B$14</f>
        <v>-0</v>
      </c>
      <c r="AZ39" s="41" t="n">
        <f aca="false">-AZ31*Inputs!$B$13*Inputs!$B$14</f>
        <v>-0</v>
      </c>
    </row>
    <row r="40" customFormat="false" ht="15" hidden="false" customHeight="true" outlineLevel="0" collapsed="false">
      <c r="A40" s="13" t="s">
        <v>601</v>
      </c>
      <c r="C40" s="41" t="n">
        <f aca="false">SUM(D40:AZ40)</f>
        <v>-159.763925073623</v>
      </c>
      <c r="D40" s="41" t="n">
        <f aca="false">-D31*Inputs!$B$169</f>
        <v>-0</v>
      </c>
      <c r="E40" s="41" t="n">
        <f aca="false">-E31*Inputs!$B$169</f>
        <v>-0</v>
      </c>
      <c r="F40" s="41" t="n">
        <f aca="false">-F31*Inputs!$B$169</f>
        <v>-0</v>
      </c>
      <c r="G40" s="41" t="n">
        <f aca="false">-G31*Inputs!$B$169</f>
        <v>-0.928791516786571</v>
      </c>
      <c r="H40" s="41" t="n">
        <f aca="false">-H31*Inputs!$B$169</f>
        <v>-1.99723879438849</v>
      </c>
      <c r="I40" s="41" t="n">
        <f aca="false">-I31*Inputs!$B$169</f>
        <v>-2.14430438208453</v>
      </c>
      <c r="J40" s="41" t="n">
        <f aca="false">-J31*Inputs!$B$169</f>
        <v>-2.1916935089286</v>
      </c>
      <c r="K40" s="41" t="n">
        <f aca="false">-K31*Inputs!$B$169</f>
        <v>-2.24012993547592</v>
      </c>
      <c r="L40" s="41" t="n">
        <f aca="false">-L31*Inputs!$B$169</f>
        <v>-2.28963680704994</v>
      </c>
      <c r="M40" s="41" t="n">
        <f aca="false">-M31*Inputs!$B$169</f>
        <v>-2.34023778048574</v>
      </c>
      <c r="N40" s="41" t="n">
        <f aca="false">-N31*Inputs!$B$169</f>
        <v>-2.39195703543448</v>
      </c>
      <c r="O40" s="41" t="n">
        <f aca="false">-O31*Inputs!$B$169</f>
        <v>-2.44481928591758</v>
      </c>
      <c r="P40" s="41" t="n">
        <f aca="false">-P31*Inputs!$B$169</f>
        <v>-2.49884979213636</v>
      </c>
      <c r="Q40" s="41" t="n">
        <f aca="false">-Q31*Inputs!$B$169</f>
        <v>-2.55407437254257</v>
      </c>
      <c r="R40" s="41" t="n">
        <f aca="false">-R31*Inputs!$B$169</f>
        <v>-2.61051941617576</v>
      </c>
      <c r="S40" s="41" t="n">
        <f aca="false">-S31*Inputs!$B$169</f>
        <v>-2.66821189527325</v>
      </c>
      <c r="T40" s="41" t="n">
        <f aca="false">-T31*Inputs!$B$169</f>
        <v>-2.72717937815879</v>
      </c>
      <c r="U40" s="41" t="n">
        <f aca="false">-U31*Inputs!$B$169</f>
        <v>-2.7874500424161</v>
      </c>
      <c r="V40" s="41" t="n">
        <f aca="false">-V31*Inputs!$B$169</f>
        <v>-2.84905268835349</v>
      </c>
      <c r="W40" s="41" t="n">
        <f aca="false">-W31*Inputs!$B$169</f>
        <v>-2.9120167527661</v>
      </c>
      <c r="X40" s="41" t="n">
        <f aca="false">-X31*Inputs!$B$169</f>
        <v>-2.97637232300224</v>
      </c>
      <c r="Y40" s="41" t="n">
        <f aca="false">-Y31*Inputs!$B$169</f>
        <v>-3.04215015134059</v>
      </c>
      <c r="Z40" s="41" t="n">
        <f aca="false">-Z31*Inputs!$B$169</f>
        <v>-3.10938166968521</v>
      </c>
      <c r="AA40" s="41" t="n">
        <f aca="false">-AA31*Inputs!$B$169</f>
        <v>-3.17809900458526</v>
      </c>
      <c r="AB40" s="41" t="n">
        <f aca="false">-AB31*Inputs!$B$169</f>
        <v>-3.24833499258659</v>
      </c>
      <c r="AC40" s="41" t="n">
        <f aca="false">-AC31*Inputs!$B$169</f>
        <v>-3.32012319592275</v>
      </c>
      <c r="AD40" s="41" t="n">
        <f aca="false">-AD31*Inputs!$B$169</f>
        <v>-3.39349791855265</v>
      </c>
      <c r="AE40" s="41" t="n">
        <f aca="false">-AE31*Inputs!$B$169</f>
        <v>-3.46849422255266</v>
      </c>
      <c r="AF40" s="41" t="n">
        <f aca="false">-AF31*Inputs!$B$169</f>
        <v>-3.54514794487107</v>
      </c>
      <c r="AG40" s="41" t="n">
        <f aca="false">-AG31*Inputs!$B$169</f>
        <v>-3.62349571445272</v>
      </c>
      <c r="AH40" s="41" t="n">
        <f aca="false">-AH31*Inputs!$B$169</f>
        <v>-3.70357496974213</v>
      </c>
      <c r="AI40" s="41" t="n">
        <f aca="false">-AI31*Inputs!$B$169</f>
        <v>-3.78542397657343</v>
      </c>
      <c r="AJ40" s="41" t="n">
        <f aca="false">-AJ31*Inputs!$B$169</f>
        <v>-3.8690818464557</v>
      </c>
      <c r="AK40" s="41" t="n">
        <f aca="false">-AK31*Inputs!$B$169</f>
        <v>-3.95458855526238</v>
      </c>
      <c r="AL40" s="41" t="n">
        <f aca="false">-AL31*Inputs!$B$169</f>
        <v>-4.04198496233367</v>
      </c>
      <c r="AM40" s="41" t="n">
        <f aca="false">-AM31*Inputs!$B$169</f>
        <v>-4.13131283000125</v>
      </c>
      <c r="AN40" s="41" t="n">
        <f aca="false">-AN31*Inputs!$B$169</f>
        <v>-4.22261484354427</v>
      </c>
      <c r="AO40" s="41" t="n">
        <f aca="false">-AO31*Inputs!$B$169</f>
        <v>-4.3159346315866</v>
      </c>
      <c r="AP40" s="41" t="n">
        <f aca="false">-AP31*Inputs!$B$169</f>
        <v>-4.41131678694467</v>
      </c>
      <c r="AQ40" s="41" t="n">
        <f aca="false">-AQ31*Inputs!$B$169</f>
        <v>-4.50880688793614</v>
      </c>
      <c r="AR40" s="41" t="n">
        <f aca="false">-AR31*Inputs!$B$169</f>
        <v>-4.60845152015953</v>
      </c>
      <c r="AS40" s="41" t="n">
        <f aca="false">-AS31*Inputs!$B$169</f>
        <v>-4.71029829875506</v>
      </c>
      <c r="AT40" s="41" t="n">
        <f aca="false">-AT31*Inputs!$B$169</f>
        <v>-4.81439589115755</v>
      </c>
      <c r="AU40" s="41" t="n">
        <f aca="false">-AU31*Inputs!$B$169</f>
        <v>-4.92079404035213</v>
      </c>
      <c r="AV40" s="41" t="n">
        <f aca="false">-AV31*Inputs!$B$169</f>
        <v>-5.02954358864391</v>
      </c>
      <c r="AW40" s="41" t="n">
        <f aca="false">-AW31*Inputs!$B$169</f>
        <v>-5.14069650195294</v>
      </c>
      <c r="AX40" s="41" t="n">
        <f aca="false">-AX31*Inputs!$B$169</f>
        <v>-5.2543058946461</v>
      </c>
      <c r="AY40" s="41" t="n">
        <f aca="false">-AY31*Inputs!$B$169</f>
        <v>-5.37042605491778</v>
      </c>
      <c r="AZ40" s="41" t="n">
        <f aca="false">-AZ31*Inputs!$B$169</f>
        <v>-5.48911247073146</v>
      </c>
    </row>
    <row r="41" customFormat="false" ht="15" hidden="false" customHeight="true" outlineLevel="0" collapsed="false">
      <c r="A41" s="13" t="s">
        <v>602</v>
      </c>
      <c r="C41" s="41" t="n">
        <f aca="false">SUM(D41:AZ41)</f>
        <v>0</v>
      </c>
      <c r="D41" s="41" t="n">
        <f aca="false">-Inputs!$B$167*MAX(0,MIN(1,2026+1-Inputs!$B$168))*(Inputs!$B$20/MAX(0.0001,Inputs!$B$20+Inputs!$B$21+Inputs!$B$22))</f>
        <v>-0</v>
      </c>
      <c r="E41" s="41" t="n">
        <f aca="false">-Inputs!$B$167*MAX(0,MIN(1,2027+1-Inputs!$B$168))*(Inputs!$B$20/MAX(0.0001,Inputs!$B$20+Inputs!$B$21+Inputs!$B$22))</f>
        <v>-0</v>
      </c>
      <c r="F41" s="41" t="n">
        <f aca="false">-Inputs!$B$167*MAX(0,MIN(1,2028+1-Inputs!$B$168))*(Inputs!$B$20/MAX(0.0001,Inputs!$B$20+Inputs!$B$21+Inputs!$B$22))</f>
        <v>-0</v>
      </c>
      <c r="G41" s="41" t="n">
        <f aca="false">-Inputs!$B$167*MAX(0,MIN(1,2029+1-Inputs!$B$168))*(Inputs!$B$20/MAX(0.0001,Inputs!$B$20+Inputs!$B$21+Inputs!$B$22))</f>
        <v>-0</v>
      </c>
      <c r="H41" s="41" t="n">
        <f aca="false">-Inputs!$B$167*MAX(0,MIN(1,2030+1-Inputs!$B$168))*(Inputs!$B$20/MAX(0.0001,Inputs!$B$20+Inputs!$B$21+Inputs!$B$22))</f>
        <v>-0</v>
      </c>
      <c r="I41" s="41" t="n">
        <f aca="false">-Inputs!$B$167*MAX(0,MIN(1,2031+1-Inputs!$B$168))*(Inputs!$B$20/MAX(0.0001,Inputs!$B$20+Inputs!$B$21+Inputs!$B$22))</f>
        <v>-0</v>
      </c>
      <c r="J41" s="41" t="n">
        <f aca="false">-Inputs!$B$167*MAX(0,MIN(1,2032+1-Inputs!$B$168))*(Inputs!$B$20/MAX(0.0001,Inputs!$B$20+Inputs!$B$21+Inputs!$B$22))</f>
        <v>-0</v>
      </c>
      <c r="K41" s="41" t="n">
        <f aca="false">-Inputs!$B$167*MAX(0,MIN(1,2033+1-Inputs!$B$168))*(Inputs!$B$20/MAX(0.0001,Inputs!$B$20+Inputs!$B$21+Inputs!$B$22))</f>
        <v>-0</v>
      </c>
      <c r="L41" s="41" t="n">
        <f aca="false">-Inputs!$B$167*MAX(0,MIN(1,2034+1-Inputs!$B$168))*(Inputs!$B$20/MAX(0.0001,Inputs!$B$20+Inputs!$B$21+Inputs!$B$22))</f>
        <v>-0</v>
      </c>
      <c r="M41" s="41" t="n">
        <f aca="false">-Inputs!$B$167*MAX(0,MIN(1,2035+1-Inputs!$B$168))*(Inputs!$B$20/MAX(0.0001,Inputs!$B$20+Inputs!$B$21+Inputs!$B$22))</f>
        <v>-0</v>
      </c>
      <c r="N41" s="41" t="n">
        <f aca="false">-Inputs!$B$167*MAX(0,MIN(1,2036+1-Inputs!$B$168))*(Inputs!$B$20/MAX(0.0001,Inputs!$B$20+Inputs!$B$21+Inputs!$B$22))</f>
        <v>-0</v>
      </c>
      <c r="O41" s="41" t="n">
        <f aca="false">-Inputs!$B$167*MAX(0,MIN(1,2037+1-Inputs!$B$168))*(Inputs!$B$20/MAX(0.0001,Inputs!$B$20+Inputs!$B$21+Inputs!$B$22))</f>
        <v>-0</v>
      </c>
      <c r="P41" s="41" t="n">
        <f aca="false">-Inputs!$B$167*MAX(0,MIN(1,2038+1-Inputs!$B$168))*(Inputs!$B$20/MAX(0.0001,Inputs!$B$20+Inputs!$B$21+Inputs!$B$22))</f>
        <v>-0</v>
      </c>
      <c r="Q41" s="41" t="n">
        <f aca="false">-Inputs!$B$167*MAX(0,MIN(1,2039+1-Inputs!$B$168))*(Inputs!$B$20/MAX(0.0001,Inputs!$B$20+Inputs!$B$21+Inputs!$B$22))</f>
        <v>-0</v>
      </c>
      <c r="R41" s="41" t="n">
        <f aca="false">-Inputs!$B$167*MAX(0,MIN(1,2040+1-Inputs!$B$168))*(Inputs!$B$20/MAX(0.0001,Inputs!$B$20+Inputs!$B$21+Inputs!$B$22))</f>
        <v>-0</v>
      </c>
      <c r="S41" s="41" t="n">
        <f aca="false">-Inputs!$B$167*MAX(0,MIN(1,2041+1-Inputs!$B$168))*(Inputs!$B$20/MAX(0.0001,Inputs!$B$20+Inputs!$B$21+Inputs!$B$22))</f>
        <v>-0</v>
      </c>
      <c r="T41" s="41" t="n">
        <f aca="false">-Inputs!$B$167*MAX(0,MIN(1,2042+1-Inputs!$B$168))*(Inputs!$B$20/MAX(0.0001,Inputs!$B$20+Inputs!$B$21+Inputs!$B$22))</f>
        <v>-0</v>
      </c>
      <c r="U41" s="41" t="n">
        <f aca="false">-Inputs!$B$167*MAX(0,MIN(1,2043+1-Inputs!$B$168))*(Inputs!$B$20/MAX(0.0001,Inputs!$B$20+Inputs!$B$21+Inputs!$B$22))</f>
        <v>-0</v>
      </c>
      <c r="V41" s="41" t="n">
        <f aca="false">-Inputs!$B$167*MAX(0,MIN(1,2044+1-Inputs!$B$168))*(Inputs!$B$20/MAX(0.0001,Inputs!$B$20+Inputs!$B$21+Inputs!$B$22))</f>
        <v>-0</v>
      </c>
      <c r="W41" s="41" t="n">
        <f aca="false">-Inputs!$B$167*MAX(0,MIN(1,2045+1-Inputs!$B$168))*(Inputs!$B$20/MAX(0.0001,Inputs!$B$20+Inputs!$B$21+Inputs!$B$22))</f>
        <v>-0</v>
      </c>
      <c r="X41" s="41" t="n">
        <f aca="false">-Inputs!$B$167*MAX(0,MIN(1,2046+1-Inputs!$B$168))*(Inputs!$B$20/MAX(0.0001,Inputs!$B$20+Inputs!$B$21+Inputs!$B$22))</f>
        <v>-0</v>
      </c>
      <c r="Y41" s="41" t="n">
        <f aca="false">-Inputs!$B$167*MAX(0,MIN(1,2047+1-Inputs!$B$168))*(Inputs!$B$20/MAX(0.0001,Inputs!$B$20+Inputs!$B$21+Inputs!$B$22))</f>
        <v>-0</v>
      </c>
      <c r="Z41" s="41" t="n">
        <f aca="false">-Inputs!$B$167*MAX(0,MIN(1,2048+1-Inputs!$B$168))*(Inputs!$B$20/MAX(0.0001,Inputs!$B$20+Inputs!$B$21+Inputs!$B$22))</f>
        <v>-0</v>
      </c>
      <c r="AA41" s="41" t="n">
        <f aca="false">-Inputs!$B$167*MAX(0,MIN(1,2049+1-Inputs!$B$168))*(Inputs!$B$20/MAX(0.0001,Inputs!$B$20+Inputs!$B$21+Inputs!$B$22))</f>
        <v>-0</v>
      </c>
      <c r="AB41" s="41" t="n">
        <f aca="false">-Inputs!$B$167*MAX(0,MIN(1,2050+1-Inputs!$B$168))*(Inputs!$B$20/MAX(0.0001,Inputs!$B$20+Inputs!$B$21+Inputs!$B$22))</f>
        <v>-0</v>
      </c>
      <c r="AC41" s="41" t="n">
        <f aca="false">-Inputs!$B$167*MAX(0,MIN(1,2051+1-Inputs!$B$168))*(Inputs!$B$20/MAX(0.0001,Inputs!$B$20+Inputs!$B$21+Inputs!$B$22))</f>
        <v>-0</v>
      </c>
      <c r="AD41" s="41" t="n">
        <f aca="false">-Inputs!$B$167*MAX(0,MIN(1,2052+1-Inputs!$B$168))*(Inputs!$B$20/MAX(0.0001,Inputs!$B$20+Inputs!$B$21+Inputs!$B$22))</f>
        <v>-0</v>
      </c>
      <c r="AE41" s="41" t="n">
        <f aca="false">-Inputs!$B$167*MAX(0,MIN(1,2053+1-Inputs!$B$168))*(Inputs!$B$20/MAX(0.0001,Inputs!$B$20+Inputs!$B$21+Inputs!$B$22))</f>
        <v>-0</v>
      </c>
      <c r="AF41" s="41" t="n">
        <f aca="false">-Inputs!$B$167*MAX(0,MIN(1,2054+1-Inputs!$B$168))*(Inputs!$B$20/MAX(0.0001,Inputs!$B$20+Inputs!$B$21+Inputs!$B$22))</f>
        <v>-0</v>
      </c>
      <c r="AG41" s="41" t="n">
        <f aca="false">-Inputs!$B$167*MAX(0,MIN(1,2055+1-Inputs!$B$168))*(Inputs!$B$20/MAX(0.0001,Inputs!$B$20+Inputs!$B$21+Inputs!$B$22))</f>
        <v>-0</v>
      </c>
      <c r="AH41" s="41" t="n">
        <f aca="false">-Inputs!$B$167*MAX(0,MIN(1,2056+1-Inputs!$B$168))*(Inputs!$B$20/MAX(0.0001,Inputs!$B$20+Inputs!$B$21+Inputs!$B$22))</f>
        <v>-0</v>
      </c>
      <c r="AI41" s="41" t="n">
        <f aca="false">-Inputs!$B$167*MAX(0,MIN(1,2057+1-Inputs!$B$168))*(Inputs!$B$20/MAX(0.0001,Inputs!$B$20+Inputs!$B$21+Inputs!$B$22))</f>
        <v>-0</v>
      </c>
      <c r="AJ41" s="41" t="n">
        <f aca="false">-Inputs!$B$167*MAX(0,MIN(1,2058+1-Inputs!$B$168))*(Inputs!$B$20/MAX(0.0001,Inputs!$B$20+Inputs!$B$21+Inputs!$B$22))</f>
        <v>-0</v>
      </c>
      <c r="AK41" s="41" t="n">
        <f aca="false">-Inputs!$B$167*MAX(0,MIN(1,2059+1-Inputs!$B$168))*(Inputs!$B$20/MAX(0.0001,Inputs!$B$20+Inputs!$B$21+Inputs!$B$22))</f>
        <v>-0</v>
      </c>
      <c r="AL41" s="41" t="n">
        <f aca="false">-Inputs!$B$167*MAX(0,MIN(1,2060+1-Inputs!$B$168))*(Inputs!$B$20/MAX(0.0001,Inputs!$B$20+Inputs!$B$21+Inputs!$B$22))</f>
        <v>-0</v>
      </c>
      <c r="AM41" s="41" t="n">
        <f aca="false">-Inputs!$B$167*MAX(0,MIN(1,2061+1-Inputs!$B$168))*(Inputs!$B$20/MAX(0.0001,Inputs!$B$20+Inputs!$B$21+Inputs!$B$22))</f>
        <v>-0</v>
      </c>
      <c r="AN41" s="41" t="n">
        <f aca="false">-Inputs!$B$167*MAX(0,MIN(1,2062+1-Inputs!$B$168))*(Inputs!$B$20/MAX(0.0001,Inputs!$B$20+Inputs!$B$21+Inputs!$B$22))</f>
        <v>-0</v>
      </c>
      <c r="AO41" s="41" t="n">
        <f aca="false">-Inputs!$B$167*MAX(0,MIN(1,2063+1-Inputs!$B$168))*(Inputs!$B$20/MAX(0.0001,Inputs!$B$20+Inputs!$B$21+Inputs!$B$22))</f>
        <v>-0</v>
      </c>
      <c r="AP41" s="41" t="n">
        <f aca="false">-Inputs!$B$167*MAX(0,MIN(1,2064+1-Inputs!$B$168))*(Inputs!$B$20/MAX(0.0001,Inputs!$B$20+Inputs!$B$21+Inputs!$B$22))</f>
        <v>-0</v>
      </c>
      <c r="AQ41" s="41" t="n">
        <f aca="false">-Inputs!$B$167*MAX(0,MIN(1,2065+1-Inputs!$B$168))*(Inputs!$B$20/MAX(0.0001,Inputs!$B$20+Inputs!$B$21+Inputs!$B$22))</f>
        <v>-0</v>
      </c>
      <c r="AR41" s="41" t="n">
        <f aca="false">-Inputs!$B$167*MAX(0,MIN(1,2066+1-Inputs!$B$168))*(Inputs!$B$20/MAX(0.0001,Inputs!$B$20+Inputs!$B$21+Inputs!$B$22))</f>
        <v>-0</v>
      </c>
      <c r="AS41" s="41" t="n">
        <f aca="false">-Inputs!$B$167*MAX(0,MIN(1,2067+1-Inputs!$B$168))*(Inputs!$B$20/MAX(0.0001,Inputs!$B$20+Inputs!$B$21+Inputs!$B$22))</f>
        <v>-0</v>
      </c>
      <c r="AT41" s="41" t="n">
        <f aca="false">-Inputs!$B$167*MAX(0,MIN(1,2068+1-Inputs!$B$168))*(Inputs!$B$20/MAX(0.0001,Inputs!$B$20+Inputs!$B$21+Inputs!$B$22))</f>
        <v>-0</v>
      </c>
      <c r="AU41" s="41" t="n">
        <f aca="false">-Inputs!$B$167*MAX(0,MIN(1,2069+1-Inputs!$B$168))*(Inputs!$B$20/MAX(0.0001,Inputs!$B$20+Inputs!$B$21+Inputs!$B$22))</f>
        <v>-0</v>
      </c>
      <c r="AV41" s="41" t="n">
        <f aca="false">-Inputs!$B$167*MAX(0,MIN(1,2070+1-Inputs!$B$168))*(Inputs!$B$20/MAX(0.0001,Inputs!$B$20+Inputs!$B$21+Inputs!$B$22))</f>
        <v>-0</v>
      </c>
      <c r="AW41" s="41" t="n">
        <f aca="false">-Inputs!$B$167*MAX(0,MIN(1,2071+1-Inputs!$B$168))*(Inputs!$B$20/MAX(0.0001,Inputs!$B$20+Inputs!$B$21+Inputs!$B$22))</f>
        <v>-0</v>
      </c>
      <c r="AX41" s="41" t="n">
        <f aca="false">-Inputs!$B$167*MAX(0,MIN(1,2072+1-Inputs!$B$168))*(Inputs!$B$20/MAX(0.0001,Inputs!$B$20+Inputs!$B$21+Inputs!$B$22))</f>
        <v>-0</v>
      </c>
      <c r="AY41" s="41" t="n">
        <f aca="false">-Inputs!$B$167*MAX(0,MIN(1,2073+1-Inputs!$B$168))*(Inputs!$B$20/MAX(0.0001,Inputs!$B$20+Inputs!$B$21+Inputs!$B$22))</f>
        <v>-0</v>
      </c>
      <c r="AZ41" s="41" t="n">
        <f aca="false">-Inputs!$B$167*MAX(0,MIN(1,2074+1-Inputs!$B$168))*(Inputs!$B$20/MAX(0.0001,Inputs!$B$20+Inputs!$B$21+Inputs!$B$22))</f>
        <v>-0</v>
      </c>
    </row>
    <row r="42" customFormat="false" ht="15" hidden="false" customHeight="true" outlineLevel="0" collapsed="false">
      <c r="A42" s="13" t="s">
        <v>603</v>
      </c>
      <c r="C42" s="41" t="n">
        <f aca="false">SUM(D42:AZ42)</f>
        <v>0</v>
      </c>
      <c r="D42" s="41" t="n">
        <f aca="false">-(Inputs!$B$163+Inputs!$B$164)*IF(2026&lt;2028+Inputs!$B$9,0,IF(2026=2028+Inputs!$B$9,Inputs!$B$165,1))*(1+Inputs!$B$166)^(2026-2028-Inputs!$B$9)*(Inputs!$B$20/MAX(0.0001,Inputs!$B$20+Inputs!$B$21+Inputs!$B$22))</f>
        <v>-0</v>
      </c>
      <c r="E42" s="41" t="n">
        <f aca="false">-(Inputs!$B$163+Inputs!$B$164)*IF(2027&lt;2028+Inputs!$B$9,0,IF(2027=2028+Inputs!$B$9,Inputs!$B$165,1))*(1+Inputs!$B$166)^(2027-2028-Inputs!$B$9)*(Inputs!$B$20/MAX(0.0001,Inputs!$B$20+Inputs!$B$21+Inputs!$B$22))</f>
        <v>-0</v>
      </c>
      <c r="F42" s="41" t="n">
        <f aca="false">-(Inputs!$B$163+Inputs!$B$164)*IF(2028&lt;2028+Inputs!$B$9,0,IF(2028=2028+Inputs!$B$9,Inputs!$B$165,1))*(1+Inputs!$B$166)^(2028-2028-Inputs!$B$9)*(Inputs!$B$20/MAX(0.0001,Inputs!$B$20+Inputs!$B$21+Inputs!$B$22))</f>
        <v>-0</v>
      </c>
      <c r="G42" s="41" t="n">
        <f aca="false">-(Inputs!$B$163+Inputs!$B$164)*IF(2029&lt;2028+Inputs!$B$9,0,IF(2029=2028+Inputs!$B$9,Inputs!$B$165,1))*(1+Inputs!$B$166)^(2029-2028-Inputs!$B$9)*(Inputs!$B$20/MAX(0.0001,Inputs!$B$20+Inputs!$B$21+Inputs!$B$22))</f>
        <v>-0</v>
      </c>
      <c r="H42" s="41" t="n">
        <f aca="false">-(Inputs!$B$163+Inputs!$B$164)*IF(2030&lt;2028+Inputs!$B$9,0,IF(2030=2028+Inputs!$B$9,Inputs!$B$165,1))*(1+Inputs!$B$166)^(2030-2028-Inputs!$B$9)*(Inputs!$B$20/MAX(0.0001,Inputs!$B$20+Inputs!$B$21+Inputs!$B$22))</f>
        <v>-0</v>
      </c>
      <c r="I42" s="41" t="n">
        <f aca="false">-(Inputs!$B$163+Inputs!$B$164)*IF(2031&lt;2028+Inputs!$B$9,0,IF(2031=2028+Inputs!$B$9,Inputs!$B$165,1))*(1+Inputs!$B$166)^(2031-2028-Inputs!$B$9)*(Inputs!$B$20/MAX(0.0001,Inputs!$B$20+Inputs!$B$21+Inputs!$B$22))</f>
        <v>-0</v>
      </c>
      <c r="J42" s="41" t="n">
        <f aca="false">-(Inputs!$B$163+Inputs!$B$164)*IF(2032&lt;2028+Inputs!$B$9,0,IF(2032=2028+Inputs!$B$9,Inputs!$B$165,1))*(1+Inputs!$B$166)^(2032-2028-Inputs!$B$9)*(Inputs!$B$20/MAX(0.0001,Inputs!$B$20+Inputs!$B$21+Inputs!$B$22))</f>
        <v>-0</v>
      </c>
      <c r="K42" s="41" t="n">
        <f aca="false">-(Inputs!$B$163+Inputs!$B$164)*IF(2033&lt;2028+Inputs!$B$9,0,IF(2033=2028+Inputs!$B$9,Inputs!$B$165,1))*(1+Inputs!$B$166)^(2033-2028-Inputs!$B$9)*(Inputs!$B$20/MAX(0.0001,Inputs!$B$20+Inputs!$B$21+Inputs!$B$22))</f>
        <v>-0</v>
      </c>
      <c r="L42" s="41" t="n">
        <f aca="false">-(Inputs!$B$163+Inputs!$B$164)*IF(2034&lt;2028+Inputs!$B$9,0,IF(2034=2028+Inputs!$B$9,Inputs!$B$165,1))*(1+Inputs!$B$166)^(2034-2028-Inputs!$B$9)*(Inputs!$B$20/MAX(0.0001,Inputs!$B$20+Inputs!$B$21+Inputs!$B$22))</f>
        <v>-0</v>
      </c>
      <c r="M42" s="41" t="n">
        <f aca="false">-(Inputs!$B$163+Inputs!$B$164)*IF(2035&lt;2028+Inputs!$B$9,0,IF(2035=2028+Inputs!$B$9,Inputs!$B$165,1))*(1+Inputs!$B$166)^(2035-2028-Inputs!$B$9)*(Inputs!$B$20/MAX(0.0001,Inputs!$B$20+Inputs!$B$21+Inputs!$B$22))</f>
        <v>-0</v>
      </c>
      <c r="N42" s="41" t="n">
        <f aca="false">-(Inputs!$B$163+Inputs!$B$164)*IF(2036&lt;2028+Inputs!$B$9,0,IF(2036=2028+Inputs!$B$9,Inputs!$B$165,1))*(1+Inputs!$B$166)^(2036-2028-Inputs!$B$9)*(Inputs!$B$20/MAX(0.0001,Inputs!$B$20+Inputs!$B$21+Inputs!$B$22))</f>
        <v>-0</v>
      </c>
      <c r="O42" s="41" t="n">
        <f aca="false">-(Inputs!$B$163+Inputs!$B$164)*IF(2037&lt;2028+Inputs!$B$9,0,IF(2037=2028+Inputs!$B$9,Inputs!$B$165,1))*(1+Inputs!$B$166)^(2037-2028-Inputs!$B$9)*(Inputs!$B$20/MAX(0.0001,Inputs!$B$20+Inputs!$B$21+Inputs!$B$22))</f>
        <v>-0</v>
      </c>
      <c r="P42" s="41" t="n">
        <f aca="false">-(Inputs!$B$163+Inputs!$B$164)*IF(2038&lt;2028+Inputs!$B$9,0,IF(2038=2028+Inputs!$B$9,Inputs!$B$165,1))*(1+Inputs!$B$166)^(2038-2028-Inputs!$B$9)*(Inputs!$B$20/MAX(0.0001,Inputs!$B$20+Inputs!$B$21+Inputs!$B$22))</f>
        <v>-0</v>
      </c>
      <c r="Q42" s="41" t="n">
        <f aca="false">-(Inputs!$B$163+Inputs!$B$164)*IF(2039&lt;2028+Inputs!$B$9,0,IF(2039=2028+Inputs!$B$9,Inputs!$B$165,1))*(1+Inputs!$B$166)^(2039-2028-Inputs!$B$9)*(Inputs!$B$20/MAX(0.0001,Inputs!$B$20+Inputs!$B$21+Inputs!$B$22))</f>
        <v>-0</v>
      </c>
      <c r="R42" s="41" t="n">
        <f aca="false">-(Inputs!$B$163+Inputs!$B$164)*IF(2040&lt;2028+Inputs!$B$9,0,IF(2040=2028+Inputs!$B$9,Inputs!$B$165,1))*(1+Inputs!$B$166)^(2040-2028-Inputs!$B$9)*(Inputs!$B$20/MAX(0.0001,Inputs!$B$20+Inputs!$B$21+Inputs!$B$22))</f>
        <v>-0</v>
      </c>
      <c r="S42" s="41" t="n">
        <f aca="false">-(Inputs!$B$163+Inputs!$B$164)*IF(2041&lt;2028+Inputs!$B$9,0,IF(2041=2028+Inputs!$B$9,Inputs!$B$165,1))*(1+Inputs!$B$166)^(2041-2028-Inputs!$B$9)*(Inputs!$B$20/MAX(0.0001,Inputs!$B$20+Inputs!$B$21+Inputs!$B$22))</f>
        <v>-0</v>
      </c>
      <c r="T42" s="41" t="n">
        <f aca="false">-(Inputs!$B$163+Inputs!$B$164)*IF(2042&lt;2028+Inputs!$B$9,0,IF(2042=2028+Inputs!$B$9,Inputs!$B$165,1))*(1+Inputs!$B$166)^(2042-2028-Inputs!$B$9)*(Inputs!$B$20/MAX(0.0001,Inputs!$B$20+Inputs!$B$21+Inputs!$B$22))</f>
        <v>-0</v>
      </c>
      <c r="U42" s="41" t="n">
        <f aca="false">-(Inputs!$B$163+Inputs!$B$164)*IF(2043&lt;2028+Inputs!$B$9,0,IF(2043=2028+Inputs!$B$9,Inputs!$B$165,1))*(1+Inputs!$B$166)^(2043-2028-Inputs!$B$9)*(Inputs!$B$20/MAX(0.0001,Inputs!$B$20+Inputs!$B$21+Inputs!$B$22))</f>
        <v>-0</v>
      </c>
      <c r="V42" s="41" t="n">
        <f aca="false">-(Inputs!$B$163+Inputs!$B$164)*IF(2044&lt;2028+Inputs!$B$9,0,IF(2044=2028+Inputs!$B$9,Inputs!$B$165,1))*(1+Inputs!$B$166)^(2044-2028-Inputs!$B$9)*(Inputs!$B$20/MAX(0.0001,Inputs!$B$20+Inputs!$B$21+Inputs!$B$22))</f>
        <v>-0</v>
      </c>
      <c r="W42" s="41" t="n">
        <f aca="false">-(Inputs!$B$163+Inputs!$B$164)*IF(2045&lt;2028+Inputs!$B$9,0,IF(2045=2028+Inputs!$B$9,Inputs!$B$165,1))*(1+Inputs!$B$166)^(2045-2028-Inputs!$B$9)*(Inputs!$B$20/MAX(0.0001,Inputs!$B$20+Inputs!$B$21+Inputs!$B$22))</f>
        <v>-0</v>
      </c>
      <c r="X42" s="41" t="n">
        <f aca="false">-(Inputs!$B$163+Inputs!$B$164)*IF(2046&lt;2028+Inputs!$B$9,0,IF(2046=2028+Inputs!$B$9,Inputs!$B$165,1))*(1+Inputs!$B$166)^(2046-2028-Inputs!$B$9)*(Inputs!$B$20/MAX(0.0001,Inputs!$B$20+Inputs!$B$21+Inputs!$B$22))</f>
        <v>-0</v>
      </c>
      <c r="Y42" s="41" t="n">
        <f aca="false">-(Inputs!$B$163+Inputs!$B$164)*IF(2047&lt;2028+Inputs!$B$9,0,IF(2047=2028+Inputs!$B$9,Inputs!$B$165,1))*(1+Inputs!$B$166)^(2047-2028-Inputs!$B$9)*(Inputs!$B$20/MAX(0.0001,Inputs!$B$20+Inputs!$B$21+Inputs!$B$22))</f>
        <v>-0</v>
      </c>
      <c r="Z42" s="41" t="n">
        <f aca="false">-(Inputs!$B$163+Inputs!$B$164)*IF(2048&lt;2028+Inputs!$B$9,0,IF(2048=2028+Inputs!$B$9,Inputs!$B$165,1))*(1+Inputs!$B$166)^(2048-2028-Inputs!$B$9)*(Inputs!$B$20/MAX(0.0001,Inputs!$B$20+Inputs!$B$21+Inputs!$B$22))</f>
        <v>-0</v>
      </c>
      <c r="AA42" s="41" t="n">
        <f aca="false">-(Inputs!$B$163+Inputs!$B$164)*IF(2049&lt;2028+Inputs!$B$9,0,IF(2049=2028+Inputs!$B$9,Inputs!$B$165,1))*(1+Inputs!$B$166)^(2049-2028-Inputs!$B$9)*(Inputs!$B$20/MAX(0.0001,Inputs!$B$20+Inputs!$B$21+Inputs!$B$22))</f>
        <v>-0</v>
      </c>
      <c r="AB42" s="41" t="n">
        <f aca="false">-(Inputs!$B$163+Inputs!$B$164)*IF(2050&lt;2028+Inputs!$B$9,0,IF(2050=2028+Inputs!$B$9,Inputs!$B$165,1))*(1+Inputs!$B$166)^(2050-2028-Inputs!$B$9)*(Inputs!$B$20/MAX(0.0001,Inputs!$B$20+Inputs!$B$21+Inputs!$B$22))</f>
        <v>-0</v>
      </c>
      <c r="AC42" s="41" t="n">
        <f aca="false">-(Inputs!$B$163+Inputs!$B$164)*IF(2051&lt;2028+Inputs!$B$9,0,IF(2051=2028+Inputs!$B$9,Inputs!$B$165,1))*(1+Inputs!$B$166)^(2051-2028-Inputs!$B$9)*(Inputs!$B$20/MAX(0.0001,Inputs!$B$20+Inputs!$B$21+Inputs!$B$22))</f>
        <v>-0</v>
      </c>
      <c r="AD42" s="41" t="n">
        <f aca="false">-(Inputs!$B$163+Inputs!$B$164)*IF(2052&lt;2028+Inputs!$B$9,0,IF(2052=2028+Inputs!$B$9,Inputs!$B$165,1))*(1+Inputs!$B$166)^(2052-2028-Inputs!$B$9)*(Inputs!$B$20/MAX(0.0001,Inputs!$B$20+Inputs!$B$21+Inputs!$B$22))</f>
        <v>-0</v>
      </c>
      <c r="AE42" s="41" t="n">
        <f aca="false">-(Inputs!$B$163+Inputs!$B$164)*IF(2053&lt;2028+Inputs!$B$9,0,IF(2053=2028+Inputs!$B$9,Inputs!$B$165,1))*(1+Inputs!$B$166)^(2053-2028-Inputs!$B$9)*(Inputs!$B$20/MAX(0.0001,Inputs!$B$20+Inputs!$B$21+Inputs!$B$22))</f>
        <v>-0</v>
      </c>
      <c r="AF42" s="41" t="n">
        <f aca="false">-(Inputs!$B$163+Inputs!$B$164)*IF(2054&lt;2028+Inputs!$B$9,0,IF(2054=2028+Inputs!$B$9,Inputs!$B$165,1))*(1+Inputs!$B$166)^(2054-2028-Inputs!$B$9)*(Inputs!$B$20/MAX(0.0001,Inputs!$B$20+Inputs!$B$21+Inputs!$B$22))</f>
        <v>-0</v>
      </c>
      <c r="AG42" s="41" t="n">
        <f aca="false">-(Inputs!$B$163+Inputs!$B$164)*IF(2055&lt;2028+Inputs!$B$9,0,IF(2055=2028+Inputs!$B$9,Inputs!$B$165,1))*(1+Inputs!$B$166)^(2055-2028-Inputs!$B$9)*(Inputs!$B$20/MAX(0.0001,Inputs!$B$20+Inputs!$B$21+Inputs!$B$22))</f>
        <v>-0</v>
      </c>
      <c r="AH42" s="41" t="n">
        <f aca="false">-(Inputs!$B$163+Inputs!$B$164)*IF(2056&lt;2028+Inputs!$B$9,0,IF(2056=2028+Inputs!$B$9,Inputs!$B$165,1))*(1+Inputs!$B$166)^(2056-2028-Inputs!$B$9)*(Inputs!$B$20/MAX(0.0001,Inputs!$B$20+Inputs!$B$21+Inputs!$B$22))</f>
        <v>-0</v>
      </c>
      <c r="AI42" s="41" t="n">
        <f aca="false">-(Inputs!$B$163+Inputs!$B$164)*IF(2057&lt;2028+Inputs!$B$9,0,IF(2057=2028+Inputs!$B$9,Inputs!$B$165,1))*(1+Inputs!$B$166)^(2057-2028-Inputs!$B$9)*(Inputs!$B$20/MAX(0.0001,Inputs!$B$20+Inputs!$B$21+Inputs!$B$22))</f>
        <v>-0</v>
      </c>
      <c r="AJ42" s="41" t="n">
        <f aca="false">-(Inputs!$B$163+Inputs!$B$164)*IF(2058&lt;2028+Inputs!$B$9,0,IF(2058=2028+Inputs!$B$9,Inputs!$B$165,1))*(1+Inputs!$B$166)^(2058-2028-Inputs!$B$9)*(Inputs!$B$20/MAX(0.0001,Inputs!$B$20+Inputs!$B$21+Inputs!$B$22))</f>
        <v>-0</v>
      </c>
      <c r="AK42" s="41" t="n">
        <f aca="false">-(Inputs!$B$163+Inputs!$B$164)*IF(2059&lt;2028+Inputs!$B$9,0,IF(2059=2028+Inputs!$B$9,Inputs!$B$165,1))*(1+Inputs!$B$166)^(2059-2028-Inputs!$B$9)*(Inputs!$B$20/MAX(0.0001,Inputs!$B$20+Inputs!$B$21+Inputs!$B$22))</f>
        <v>-0</v>
      </c>
      <c r="AL42" s="41" t="n">
        <f aca="false">-(Inputs!$B$163+Inputs!$B$164)*IF(2060&lt;2028+Inputs!$B$9,0,IF(2060=2028+Inputs!$B$9,Inputs!$B$165,1))*(1+Inputs!$B$166)^(2060-2028-Inputs!$B$9)*(Inputs!$B$20/MAX(0.0001,Inputs!$B$20+Inputs!$B$21+Inputs!$B$22))</f>
        <v>-0</v>
      </c>
      <c r="AM42" s="41" t="n">
        <f aca="false">-(Inputs!$B$163+Inputs!$B$164)*IF(2061&lt;2028+Inputs!$B$9,0,IF(2061=2028+Inputs!$B$9,Inputs!$B$165,1))*(1+Inputs!$B$166)^(2061-2028-Inputs!$B$9)*(Inputs!$B$20/MAX(0.0001,Inputs!$B$20+Inputs!$B$21+Inputs!$B$22))</f>
        <v>-0</v>
      </c>
      <c r="AN42" s="41" t="n">
        <f aca="false">-(Inputs!$B$163+Inputs!$B$164)*IF(2062&lt;2028+Inputs!$B$9,0,IF(2062=2028+Inputs!$B$9,Inputs!$B$165,1))*(1+Inputs!$B$166)^(2062-2028-Inputs!$B$9)*(Inputs!$B$20/MAX(0.0001,Inputs!$B$20+Inputs!$B$21+Inputs!$B$22))</f>
        <v>-0</v>
      </c>
      <c r="AO42" s="41" t="n">
        <f aca="false">-(Inputs!$B$163+Inputs!$B$164)*IF(2063&lt;2028+Inputs!$B$9,0,IF(2063=2028+Inputs!$B$9,Inputs!$B$165,1))*(1+Inputs!$B$166)^(2063-2028-Inputs!$B$9)*(Inputs!$B$20/MAX(0.0001,Inputs!$B$20+Inputs!$B$21+Inputs!$B$22))</f>
        <v>-0</v>
      </c>
      <c r="AP42" s="41" t="n">
        <f aca="false">-(Inputs!$B$163+Inputs!$B$164)*IF(2064&lt;2028+Inputs!$B$9,0,IF(2064=2028+Inputs!$B$9,Inputs!$B$165,1))*(1+Inputs!$B$166)^(2064-2028-Inputs!$B$9)*(Inputs!$B$20/MAX(0.0001,Inputs!$B$20+Inputs!$B$21+Inputs!$B$22))</f>
        <v>-0</v>
      </c>
      <c r="AQ42" s="41" t="n">
        <f aca="false">-(Inputs!$B$163+Inputs!$B$164)*IF(2065&lt;2028+Inputs!$B$9,0,IF(2065=2028+Inputs!$B$9,Inputs!$B$165,1))*(1+Inputs!$B$166)^(2065-2028-Inputs!$B$9)*(Inputs!$B$20/MAX(0.0001,Inputs!$B$20+Inputs!$B$21+Inputs!$B$22))</f>
        <v>-0</v>
      </c>
      <c r="AR42" s="41" t="n">
        <f aca="false">-(Inputs!$B$163+Inputs!$B$164)*IF(2066&lt;2028+Inputs!$B$9,0,IF(2066=2028+Inputs!$B$9,Inputs!$B$165,1))*(1+Inputs!$B$166)^(2066-2028-Inputs!$B$9)*(Inputs!$B$20/MAX(0.0001,Inputs!$B$20+Inputs!$B$21+Inputs!$B$22))</f>
        <v>-0</v>
      </c>
      <c r="AS42" s="41" t="n">
        <f aca="false">-(Inputs!$B$163+Inputs!$B$164)*IF(2067&lt;2028+Inputs!$B$9,0,IF(2067=2028+Inputs!$B$9,Inputs!$B$165,1))*(1+Inputs!$B$166)^(2067-2028-Inputs!$B$9)*(Inputs!$B$20/MAX(0.0001,Inputs!$B$20+Inputs!$B$21+Inputs!$B$22))</f>
        <v>-0</v>
      </c>
      <c r="AT42" s="41" t="n">
        <f aca="false">-(Inputs!$B$163+Inputs!$B$164)*IF(2068&lt;2028+Inputs!$B$9,0,IF(2068=2028+Inputs!$B$9,Inputs!$B$165,1))*(1+Inputs!$B$166)^(2068-2028-Inputs!$B$9)*(Inputs!$B$20/MAX(0.0001,Inputs!$B$20+Inputs!$B$21+Inputs!$B$22))</f>
        <v>-0</v>
      </c>
      <c r="AU42" s="41" t="n">
        <f aca="false">-(Inputs!$B$163+Inputs!$B$164)*IF(2069&lt;2028+Inputs!$B$9,0,IF(2069=2028+Inputs!$B$9,Inputs!$B$165,1))*(1+Inputs!$B$166)^(2069-2028-Inputs!$B$9)*(Inputs!$B$20/MAX(0.0001,Inputs!$B$20+Inputs!$B$21+Inputs!$B$22))</f>
        <v>-0</v>
      </c>
      <c r="AV42" s="41" t="n">
        <f aca="false">-(Inputs!$B$163+Inputs!$B$164)*IF(2070&lt;2028+Inputs!$B$9,0,IF(2070=2028+Inputs!$B$9,Inputs!$B$165,1))*(1+Inputs!$B$166)^(2070-2028-Inputs!$B$9)*(Inputs!$B$20/MAX(0.0001,Inputs!$B$20+Inputs!$B$21+Inputs!$B$22))</f>
        <v>-0</v>
      </c>
      <c r="AW42" s="41" t="n">
        <f aca="false">-(Inputs!$B$163+Inputs!$B$164)*IF(2071&lt;2028+Inputs!$B$9,0,IF(2071=2028+Inputs!$B$9,Inputs!$B$165,1))*(1+Inputs!$B$166)^(2071-2028-Inputs!$B$9)*(Inputs!$B$20/MAX(0.0001,Inputs!$B$20+Inputs!$B$21+Inputs!$B$22))</f>
        <v>-0</v>
      </c>
      <c r="AX42" s="41" t="n">
        <f aca="false">-(Inputs!$B$163+Inputs!$B$164)*IF(2072&lt;2028+Inputs!$B$9,0,IF(2072=2028+Inputs!$B$9,Inputs!$B$165,1))*(1+Inputs!$B$166)^(2072-2028-Inputs!$B$9)*(Inputs!$B$20/MAX(0.0001,Inputs!$B$20+Inputs!$B$21+Inputs!$B$22))</f>
        <v>-0</v>
      </c>
      <c r="AY42" s="41" t="n">
        <f aca="false">-(Inputs!$B$163+Inputs!$B$164)*IF(2073&lt;2028+Inputs!$B$9,0,IF(2073=2028+Inputs!$B$9,Inputs!$B$165,1))*(1+Inputs!$B$166)^(2073-2028-Inputs!$B$9)*(Inputs!$B$20/MAX(0.0001,Inputs!$B$20+Inputs!$B$21+Inputs!$B$22))</f>
        <v>-0</v>
      </c>
      <c r="AZ42" s="41" t="n">
        <f aca="false">-(Inputs!$B$163+Inputs!$B$164)*IF(2074&lt;2028+Inputs!$B$9,0,IF(2074=2028+Inputs!$B$9,Inputs!$B$165,1))*(1+Inputs!$B$166)^(2074-2028-Inputs!$B$9)*(Inputs!$B$20/MAX(0.0001,Inputs!$B$20+Inputs!$B$21+Inputs!$B$22))</f>
        <v>-0</v>
      </c>
    </row>
    <row r="43" customFormat="false" ht="15" hidden="false" customHeight="true" outlineLevel="0" collapsed="false">
      <c r="A43" s="6" t="s">
        <v>604</v>
      </c>
      <c r="C43" s="44" t="n">
        <f aca="false">SUM(D43:AZ43)</f>
        <v>2761.99342956221</v>
      </c>
      <c r="D43" s="44" t="n">
        <f aca="false">D36+SUM(D39:D42)</f>
        <v>0</v>
      </c>
      <c r="E43" s="44" t="n">
        <f aca="false">E36+SUM(E39:E42)</f>
        <v>0</v>
      </c>
      <c r="F43" s="44" t="n">
        <f aca="false">F36+SUM(F39:F42)</f>
        <v>0</v>
      </c>
      <c r="G43" s="44" t="n">
        <f aca="false">G36+SUM(G39:G42)</f>
        <v>14.704627293765</v>
      </c>
      <c r="H43" s="44" t="n">
        <f aca="false">H36+SUM(H39:H42)</f>
        <v>33.3658712990541</v>
      </c>
      <c r="I43" s="44" t="n">
        <f aca="false">I36+SUM(I39:I42)</f>
        <v>37.1050430275907</v>
      </c>
      <c r="J43" s="44" t="n">
        <f aca="false">J36+SUM(J39:J42)</f>
        <v>37.9250644785005</v>
      </c>
      <c r="K43" s="44" t="n">
        <f aca="false">K36+SUM(K39:K42)</f>
        <v>38.7632084034754</v>
      </c>
      <c r="L43" s="44" t="n">
        <f aca="false">L36+SUM(L39:L42)</f>
        <v>39.6198753091922</v>
      </c>
      <c r="M43" s="44" t="n">
        <f aca="false">M36+SUM(M39:M42)</f>
        <v>40.4954745535253</v>
      </c>
      <c r="N43" s="44" t="n">
        <f aca="false">N36+SUM(N39:N42)</f>
        <v>41.3904245411582</v>
      </c>
      <c r="O43" s="44" t="n">
        <f aca="false">O36+SUM(O39:O42)</f>
        <v>42.3051529235178</v>
      </c>
      <c r="P43" s="44" t="n">
        <f aca="false">P36+SUM(P39:P42)</f>
        <v>43.2400968031276</v>
      </c>
      <c r="Q43" s="44" t="n">
        <f aca="false">Q36+SUM(Q39:Q42)</f>
        <v>44.1957029424767</v>
      </c>
      <c r="R43" s="44" t="n">
        <f aca="false">R36+SUM(R39:R42)</f>
        <v>45.1724279775054</v>
      </c>
      <c r="S43" s="44" t="n">
        <f aca="false">S36+SUM(S39:S42)</f>
        <v>46.1707386358083</v>
      </c>
      <c r="T43" s="44" t="n">
        <f aca="false">T36+SUM(T39:T42)</f>
        <v>47.1911119596596</v>
      </c>
      <c r="U43" s="44" t="n">
        <f aca="false">U36+SUM(U39:U42)</f>
        <v>48.2340355339681</v>
      </c>
      <c r="V43" s="44" t="n">
        <f aca="false">V36+SUM(V39:V42)</f>
        <v>49.3000077192688</v>
      </c>
      <c r="W43" s="44" t="n">
        <f aca="false">W36+SUM(W39:W42)</f>
        <v>50.3895378898647</v>
      </c>
      <c r="X43" s="44" t="n">
        <f aca="false">X36+SUM(X39:X42)</f>
        <v>51.5031466772307</v>
      </c>
      <c r="Y43" s="44" t="n">
        <f aca="false">Y36+SUM(Y39:Y42)</f>
        <v>52.6413662187975</v>
      </c>
      <c r="Z43" s="44" t="n">
        <f aca="false">Z36+SUM(Z39:Z42)</f>
        <v>53.8047404122329</v>
      </c>
      <c r="AA43" s="44" t="n">
        <f aca="false">AA36+SUM(AA39:AA42)</f>
        <v>54.9938251753433</v>
      </c>
      <c r="AB43" s="44" t="n">
        <f aca="false">AB36+SUM(AB39:AB42)</f>
        <v>56.2091887117183</v>
      </c>
      <c r="AC43" s="44" t="n">
        <f aca="false">AC36+SUM(AC39:AC42)</f>
        <v>57.4514117822473</v>
      </c>
      <c r="AD43" s="44" t="n">
        <f aca="false">AD36+SUM(AD39:AD42)</f>
        <v>58.721087982635</v>
      </c>
      <c r="AE43" s="44" t="n">
        <f aca="false">AE36+SUM(AE39:AE42)</f>
        <v>60.0188240270512</v>
      </c>
      <c r="AF43" s="44" t="n">
        <f aca="false">AF36+SUM(AF39:AF42)</f>
        <v>61.345240038049</v>
      </c>
      <c r="AG43" s="44" t="n">
        <f aca="false">AG36+SUM(AG39:AG42)</f>
        <v>62.7009698428899</v>
      </c>
      <c r="AH43" s="44" t="n">
        <f aca="false">AH36+SUM(AH39:AH42)</f>
        <v>64.0866612764178</v>
      </c>
      <c r="AI43" s="44" t="n">
        <f aca="false">AI36+SUM(AI39:AI42)</f>
        <v>65.5029764906266</v>
      </c>
      <c r="AJ43" s="44" t="n">
        <f aca="false">AJ36+SUM(AJ39:AJ42)</f>
        <v>66.9505922710695</v>
      </c>
      <c r="AK43" s="44" t="n">
        <f aca="false">AK36+SUM(AK39:AK42)</f>
        <v>68.4302003602601</v>
      </c>
      <c r="AL43" s="44" t="n">
        <f aca="false">AL36+SUM(AL39:AL42)</f>
        <v>69.9425077882219</v>
      </c>
      <c r="AM43" s="44" t="n">
        <f aca="false">AM36+SUM(AM39:AM42)</f>
        <v>71.4882372103416</v>
      </c>
      <c r="AN43" s="44" t="n">
        <f aca="false">AN36+SUM(AN39:AN42)</f>
        <v>73.0681272526901</v>
      </c>
      <c r="AO43" s="44" t="n">
        <f aca="false">AO36+SUM(AO39:AO42)</f>
        <v>74.6829328649746</v>
      </c>
      <c r="AP43" s="44" t="n">
        <f aca="false">AP36+SUM(AP39:AP42)</f>
        <v>76.3334256812905</v>
      </c>
      <c r="AQ43" s="44" t="n">
        <f aca="false">AQ36+SUM(AQ39:AQ42)</f>
        <v>78.020394388847</v>
      </c>
      <c r="AR43" s="44" t="n">
        <f aca="false">AR36+SUM(AR39:AR42)</f>
        <v>79.7446451048406</v>
      </c>
      <c r="AS43" s="44" t="n">
        <f aca="false">AS36+SUM(AS39:AS42)</f>
        <v>81.5070017616575</v>
      </c>
      <c r="AT43" s="44" t="n">
        <f aca="false">AT36+SUM(AT39:AT42)</f>
        <v>83.3083065005902</v>
      </c>
      <c r="AU43" s="44" t="n">
        <f aca="false">AU36+SUM(AU39:AU42)</f>
        <v>85.1494200742532</v>
      </c>
      <c r="AV43" s="44" t="n">
        <f aca="false">AV36+SUM(AV39:AV42)</f>
        <v>87.0312222578942</v>
      </c>
      <c r="AW43" s="44" t="n">
        <f aca="false">AW36+SUM(AW39:AW42)</f>
        <v>88.9546122697937</v>
      </c>
      <c r="AX43" s="44" t="n">
        <f aca="false">AX36+SUM(AX39:AX42)</f>
        <v>90.9205092009561</v>
      </c>
      <c r="AY43" s="44" t="n">
        <f aca="false">AY36+SUM(AY39:AY42)</f>
        <v>92.9298524542973</v>
      </c>
      <c r="AZ43" s="44" t="n">
        <f aca="false">AZ36+SUM(AZ39:AZ42)</f>
        <v>94.9836021935372</v>
      </c>
    </row>
    <row r="45" customFormat="false" ht="15" hidden="false" customHeight="true" outlineLevel="0" collapsed="false">
      <c r="A45" s="11" t="s">
        <v>605</v>
      </c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</row>
    <row r="46" customFormat="false" ht="15" hidden="false" customHeight="true" outlineLevel="0" collapsed="false">
      <c r="A46" s="6" t="s">
        <v>606</v>
      </c>
      <c r="C46" s="21" t="n">
        <f aca="false">SUM(D46:AZ46)</f>
        <v>2546.72403594429</v>
      </c>
      <c r="D46" s="21" t="n">
        <f aca="false">D43-D22</f>
        <v>0</v>
      </c>
      <c r="E46" s="21" t="n">
        <f aca="false">E43-E22</f>
        <v>-40.053878723584</v>
      </c>
      <c r="F46" s="21" t="n">
        <f aca="false">F43-F22</f>
        <v>-115.147666489856</v>
      </c>
      <c r="G46" s="21" t="n">
        <f aca="false">G43-G22</f>
        <v>-45.363221110715</v>
      </c>
      <c r="H46" s="21" t="n">
        <f aca="false">H43-H22</f>
        <v>33.3658712990541</v>
      </c>
      <c r="I46" s="21" t="n">
        <f aca="false">I43-I22</f>
        <v>37.1050430275907</v>
      </c>
      <c r="J46" s="21" t="n">
        <f aca="false">J43-J22</f>
        <v>37.9250644785005</v>
      </c>
      <c r="K46" s="21" t="n">
        <f aca="false">K43-K22</f>
        <v>38.7632084034754</v>
      </c>
      <c r="L46" s="21" t="n">
        <f aca="false">L43-L22</f>
        <v>39.6198753091922</v>
      </c>
      <c r="M46" s="21" t="n">
        <f aca="false">M43-M22</f>
        <v>40.4954745535253</v>
      </c>
      <c r="N46" s="21" t="n">
        <f aca="false">N43-N22</f>
        <v>41.3904245411582</v>
      </c>
      <c r="O46" s="21" t="n">
        <f aca="false">O43-O22</f>
        <v>42.3051529235178</v>
      </c>
      <c r="P46" s="21" t="n">
        <f aca="false">P43-P22</f>
        <v>43.2400968031276</v>
      </c>
      <c r="Q46" s="21" t="n">
        <f aca="false">Q43-Q22</f>
        <v>44.1957029424767</v>
      </c>
      <c r="R46" s="21" t="n">
        <f aca="false">R43-R22</f>
        <v>45.1724279775054</v>
      </c>
      <c r="S46" s="21" t="n">
        <f aca="false">S43-S22</f>
        <v>46.1707386358083</v>
      </c>
      <c r="T46" s="21" t="n">
        <f aca="false">T43-T22</f>
        <v>47.1911119596596</v>
      </c>
      <c r="U46" s="21" t="n">
        <f aca="false">U43-U22</f>
        <v>48.2340355339681</v>
      </c>
      <c r="V46" s="21" t="n">
        <f aca="false">V43-V22</f>
        <v>49.3000077192688</v>
      </c>
      <c r="W46" s="21" t="n">
        <f aca="false">W43-W22</f>
        <v>50.3895378898647</v>
      </c>
      <c r="X46" s="21" t="n">
        <f aca="false">X43-X22</f>
        <v>51.5031466772307</v>
      </c>
      <c r="Y46" s="21" t="n">
        <f aca="false">Y43-Y22</f>
        <v>52.6413662187975</v>
      </c>
      <c r="Z46" s="21" t="n">
        <f aca="false">Z43-Z22</f>
        <v>53.8047404122329</v>
      </c>
      <c r="AA46" s="21" t="n">
        <f aca="false">AA43-AA22</f>
        <v>54.9938251753433</v>
      </c>
      <c r="AB46" s="21" t="n">
        <f aca="false">AB43-AB22</f>
        <v>56.2091887117183</v>
      </c>
      <c r="AC46" s="21" t="n">
        <f aca="false">AC43-AC22</f>
        <v>57.4514117822473</v>
      </c>
      <c r="AD46" s="21" t="n">
        <f aca="false">AD43-AD22</f>
        <v>58.721087982635</v>
      </c>
      <c r="AE46" s="21" t="n">
        <f aca="false">AE43-AE22</f>
        <v>60.0188240270512</v>
      </c>
      <c r="AF46" s="21" t="n">
        <f aca="false">AF43-AF22</f>
        <v>61.345240038049</v>
      </c>
      <c r="AG46" s="21" t="n">
        <f aca="false">AG43-AG22</f>
        <v>62.7009698428899</v>
      </c>
      <c r="AH46" s="21" t="n">
        <f aca="false">AH43-AH22</f>
        <v>64.0866612764178</v>
      </c>
      <c r="AI46" s="21" t="n">
        <f aca="false">AI43-AI22</f>
        <v>65.5029764906266</v>
      </c>
      <c r="AJ46" s="21" t="n">
        <f aca="false">AJ43-AJ22</f>
        <v>66.9505922710695</v>
      </c>
      <c r="AK46" s="21" t="n">
        <f aca="false">AK43-AK22</f>
        <v>68.4302003602601</v>
      </c>
      <c r="AL46" s="21" t="n">
        <f aca="false">AL43-AL22</f>
        <v>69.9425077882219</v>
      </c>
      <c r="AM46" s="21" t="n">
        <f aca="false">AM43-AM22</f>
        <v>71.4882372103416</v>
      </c>
      <c r="AN46" s="21" t="n">
        <f aca="false">AN43-AN22</f>
        <v>73.0681272526901</v>
      </c>
      <c r="AO46" s="21" t="n">
        <f aca="false">AO43-AO22</f>
        <v>74.6829328649746</v>
      </c>
      <c r="AP46" s="21" t="n">
        <f aca="false">AP43-AP22</f>
        <v>76.3334256812905</v>
      </c>
      <c r="AQ46" s="21" t="n">
        <f aca="false">AQ43-AQ22</f>
        <v>78.020394388847</v>
      </c>
      <c r="AR46" s="21" t="n">
        <f aca="false">AR43-AR22</f>
        <v>79.7446451048406</v>
      </c>
      <c r="AS46" s="21" t="n">
        <f aca="false">AS43-AS22</f>
        <v>81.5070017616575</v>
      </c>
      <c r="AT46" s="21" t="n">
        <f aca="false">AT43-AT22</f>
        <v>83.3083065005902</v>
      </c>
      <c r="AU46" s="21" t="n">
        <f aca="false">AU43-AU22</f>
        <v>85.1494200742532</v>
      </c>
      <c r="AV46" s="21" t="n">
        <f aca="false">AV43-AV22</f>
        <v>87.0312222578942</v>
      </c>
      <c r="AW46" s="21" t="n">
        <f aca="false">AW43-AW22</f>
        <v>88.9546122697937</v>
      </c>
      <c r="AX46" s="21" t="n">
        <f aca="false">AX43-AX22</f>
        <v>90.9205092009561</v>
      </c>
      <c r="AY46" s="21" t="n">
        <f aca="false">AY43-AY22</f>
        <v>92.9298524542973</v>
      </c>
      <c r="AZ46" s="21" t="n">
        <f aca="false">AZ43-AZ22</f>
        <v>94.9836021935372</v>
      </c>
    </row>
    <row r="47" customFormat="false" ht="15" hidden="false" customHeight="true" outlineLevel="0" collapsed="false">
      <c r="A47" s="13" t="s">
        <v>607</v>
      </c>
      <c r="D47" s="41" t="n">
        <f aca="false">D46</f>
        <v>0</v>
      </c>
      <c r="E47" s="41" t="n">
        <f aca="false">D47+E46</f>
        <v>-40.053878723584</v>
      </c>
      <c r="F47" s="41" t="n">
        <f aca="false">E47+F46</f>
        <v>-155.20154521344</v>
      </c>
      <c r="G47" s="41" t="n">
        <f aca="false">F47+G46</f>
        <v>-200.564766324155</v>
      </c>
      <c r="H47" s="41" t="n">
        <f aca="false">G47+H46</f>
        <v>-167.198895025101</v>
      </c>
      <c r="I47" s="41" t="n">
        <f aca="false">H47+I46</f>
        <v>-130.09385199751</v>
      </c>
      <c r="J47" s="41" t="n">
        <f aca="false">I47+J46</f>
        <v>-92.1687875190098</v>
      </c>
      <c r="K47" s="41" t="n">
        <f aca="false">J47+K46</f>
        <v>-53.4055791155345</v>
      </c>
      <c r="L47" s="41" t="n">
        <f aca="false">K47+L46</f>
        <v>-13.7857038063423</v>
      </c>
      <c r="M47" s="41" t="n">
        <f aca="false">L47+M46</f>
        <v>26.709770747183</v>
      </c>
      <c r="N47" s="41" t="n">
        <f aca="false">M47+N46</f>
        <v>68.1001952883413</v>
      </c>
      <c r="O47" s="41" t="n">
        <f aca="false">N47+O46</f>
        <v>110.405348211859</v>
      </c>
      <c r="P47" s="41" t="n">
        <f aca="false">O47+P46</f>
        <v>153.645445014987</v>
      </c>
      <c r="Q47" s="41" t="n">
        <f aca="false">P47+Q46</f>
        <v>197.841147957463</v>
      </c>
      <c r="R47" s="41" t="n">
        <f aca="false">Q47+R46</f>
        <v>243.013575934969</v>
      </c>
      <c r="S47" s="41" t="n">
        <f aca="false">R47+S46</f>
        <v>289.184314570777</v>
      </c>
      <c r="T47" s="41" t="n">
        <f aca="false">S47+T46</f>
        <v>336.375426530437</v>
      </c>
      <c r="U47" s="41" t="n">
        <f aca="false">T47+U46</f>
        <v>384.609462064405</v>
      </c>
      <c r="V47" s="41" t="n">
        <f aca="false">U47+V46</f>
        <v>433.909469783674</v>
      </c>
      <c r="W47" s="41" t="n">
        <f aca="false">V47+W46</f>
        <v>484.299007673538</v>
      </c>
      <c r="X47" s="41" t="n">
        <f aca="false">W47+X46</f>
        <v>535.802154350769</v>
      </c>
      <c r="Y47" s="41" t="n">
        <f aca="false">X47+Y46</f>
        <v>588.443520569566</v>
      </c>
      <c r="Z47" s="41" t="n">
        <f aca="false">Y47+Z46</f>
        <v>642.248260981799</v>
      </c>
      <c r="AA47" s="41" t="n">
        <f aca="false">Z47+AA46</f>
        <v>697.242086157143</v>
      </c>
      <c r="AB47" s="41" t="n">
        <f aca="false">AA47+AB46</f>
        <v>753.451274868861</v>
      </c>
      <c r="AC47" s="41" t="n">
        <f aca="false">AB47+AC46</f>
        <v>810.902686651108</v>
      </c>
      <c r="AD47" s="41" t="n">
        <f aca="false">AC47+AD46</f>
        <v>869.623774633743</v>
      </c>
      <c r="AE47" s="41" t="n">
        <f aca="false">AD47+AE46</f>
        <v>929.642598660794</v>
      </c>
      <c r="AF47" s="41" t="n">
        <f aca="false">AE47+AF46</f>
        <v>990.987838698843</v>
      </c>
      <c r="AG47" s="41" t="n">
        <f aca="false">AF47+AG46</f>
        <v>1053.68880854173</v>
      </c>
      <c r="AH47" s="41" t="n">
        <f aca="false">AG47+AH46</f>
        <v>1117.77546981815</v>
      </c>
      <c r="AI47" s="41" t="n">
        <f aca="false">AH47+AI46</f>
        <v>1183.27844630878</v>
      </c>
      <c r="AJ47" s="41" t="n">
        <f aca="false">AI47+AJ46</f>
        <v>1250.22903857985</v>
      </c>
      <c r="AK47" s="41" t="n">
        <f aca="false">AJ47+AK46</f>
        <v>1318.65923894011</v>
      </c>
      <c r="AL47" s="41" t="n">
        <f aca="false">AK47+AL46</f>
        <v>1388.60174672833</v>
      </c>
      <c r="AM47" s="41" t="n">
        <f aca="false">AL47+AM46</f>
        <v>1460.08998393867</v>
      </c>
      <c r="AN47" s="41" t="n">
        <f aca="false">AM47+AN46</f>
        <v>1533.15811119136</v>
      </c>
      <c r="AO47" s="41" t="n">
        <f aca="false">AN47+AO46</f>
        <v>1607.84104405634</v>
      </c>
      <c r="AP47" s="41" t="n">
        <f aca="false">AO47+AP46</f>
        <v>1684.17446973763</v>
      </c>
      <c r="AQ47" s="41" t="n">
        <f aca="false">AP47+AQ46</f>
        <v>1762.19486412647</v>
      </c>
      <c r="AR47" s="41" t="n">
        <f aca="false">AQ47+AR46</f>
        <v>1841.93950923131</v>
      </c>
      <c r="AS47" s="41" t="n">
        <f aca="false">AR47+AS46</f>
        <v>1923.44651099297</v>
      </c>
      <c r="AT47" s="41" t="n">
        <f aca="false">AS47+AT46</f>
        <v>2006.75481749356</v>
      </c>
      <c r="AU47" s="41" t="n">
        <f aca="false">AT47+AU46</f>
        <v>2091.90423756782</v>
      </c>
      <c r="AV47" s="41" t="n">
        <f aca="false">AU47+AV46</f>
        <v>2178.93545982571</v>
      </c>
      <c r="AW47" s="41" t="n">
        <f aca="false">AV47+AW46</f>
        <v>2267.8900720955</v>
      </c>
      <c r="AX47" s="41" t="n">
        <f aca="false">AW47+AX46</f>
        <v>2358.81058129646</v>
      </c>
      <c r="AY47" s="41" t="n">
        <f aca="false">AX47+AY46</f>
        <v>2451.74043375076</v>
      </c>
      <c r="AZ47" s="41" t="n">
        <f aca="false">AY47+AZ46</f>
        <v>2546.72403594429</v>
      </c>
    </row>
    <row r="48" customFormat="false" ht="15" hidden="false" customHeight="true" outlineLevel="0" collapsed="false">
      <c r="A48" s="13" t="s">
        <v>608</v>
      </c>
      <c r="D48" s="41" t="n">
        <f aca="false">IF(2026=Inputs!$B$176,E43/Inputs!$B$177*(1-(1+Inputs!$B$177)^-(Inputs!$B$55-2026)),0)</f>
        <v>0</v>
      </c>
      <c r="E48" s="41" t="n">
        <f aca="false">IF(2027=Inputs!$B$176,F43/Inputs!$B$177*(1-(1+Inputs!$B$177)^-(Inputs!$B$55-2027)),0)</f>
        <v>0</v>
      </c>
      <c r="F48" s="41" t="n">
        <f aca="false">IF(2028=Inputs!$B$176,G43/Inputs!$B$177*(1-(1+Inputs!$B$177)^-(Inputs!$B$55-2028)),0)</f>
        <v>0</v>
      </c>
      <c r="G48" s="41" t="n">
        <f aca="false">IF(2029=Inputs!$B$176,H43/Inputs!$B$177*(1-(1+Inputs!$B$177)^-(Inputs!$B$55-2029)),0)</f>
        <v>0</v>
      </c>
      <c r="H48" s="41" t="n">
        <f aca="false">IF(2030=Inputs!$B$176,I43/Inputs!$B$177*(1-(1+Inputs!$B$177)^-(Inputs!$B$55-2030)),0)</f>
        <v>0</v>
      </c>
      <c r="I48" s="41" t="n">
        <f aca="false">IF(2031=Inputs!$B$176,J43/Inputs!$B$177*(1-(1+Inputs!$B$177)^-(Inputs!$B$55-2031)),0)</f>
        <v>0</v>
      </c>
      <c r="J48" s="41" t="n">
        <f aca="false">IF(2032=Inputs!$B$176,K43/Inputs!$B$177*(1-(1+Inputs!$B$177)^-(Inputs!$B$55-2032)),0)</f>
        <v>0</v>
      </c>
      <c r="K48" s="41" t="n">
        <f aca="false">IF(2033=Inputs!$B$176,L43/Inputs!$B$177*(1-(1+Inputs!$B$177)^-(Inputs!$B$55-2033)),0)</f>
        <v>0</v>
      </c>
      <c r="L48" s="41" t="n">
        <f aca="false">IF(2034=Inputs!$B$176,M43/Inputs!$B$177*(1-(1+Inputs!$B$177)^-(Inputs!$B$55-2034)),0)</f>
        <v>0</v>
      </c>
      <c r="M48" s="41" t="n">
        <f aca="false">IF(2035=Inputs!$B$176,N43/Inputs!$B$177*(1-(1+Inputs!$B$177)^-(Inputs!$B$55-2035)),0)</f>
        <v>0</v>
      </c>
      <c r="N48" s="41" t="n">
        <f aca="false">IF(2036=Inputs!$B$176,O43/Inputs!$B$177*(1-(1+Inputs!$B$177)^-(Inputs!$B$55-2036)),0)</f>
        <v>0</v>
      </c>
      <c r="O48" s="41" t="n">
        <f aca="false">IF(2037=Inputs!$B$176,P43/Inputs!$B$177*(1-(1+Inputs!$B$177)^-(Inputs!$B$55-2037)),0)</f>
        <v>0</v>
      </c>
      <c r="P48" s="41" t="n">
        <f aca="false">IF(2038=Inputs!$B$176,Q43/Inputs!$B$177*(1-(1+Inputs!$B$177)^-(Inputs!$B$55-2038)),0)</f>
        <v>0</v>
      </c>
      <c r="Q48" s="41" t="n">
        <f aca="false">IF(2039=Inputs!$B$176,R43/Inputs!$B$177*(1-(1+Inputs!$B$177)^-(Inputs!$B$55-2039)),0)</f>
        <v>0</v>
      </c>
      <c r="R48" s="41" t="n">
        <f aca="false">IF(2040=Inputs!$B$176,S43/Inputs!$B$177*(1-(1+Inputs!$B$177)^-(Inputs!$B$55-2040)),0)</f>
        <v>443.634998979731</v>
      </c>
      <c r="S48" s="41" t="n">
        <f aca="false">IF(2041=Inputs!$B$176,T43/Inputs!$B$177*(1-(1+Inputs!$B$177)^-(Inputs!$B$55-2041)),0)</f>
        <v>0</v>
      </c>
      <c r="T48" s="41" t="n">
        <f aca="false">IF(2042=Inputs!$B$176,U43/Inputs!$B$177*(1-(1+Inputs!$B$177)^-(Inputs!$B$55-2042)),0)</f>
        <v>0</v>
      </c>
      <c r="U48" s="41" t="n">
        <f aca="false">IF(2043=Inputs!$B$176,V43/Inputs!$B$177*(1-(1+Inputs!$B$177)^-(Inputs!$B$55-2043)),0)</f>
        <v>0</v>
      </c>
      <c r="V48" s="41" t="n">
        <f aca="false">IF(2044=Inputs!$B$176,W43/Inputs!$B$177*(1-(1+Inputs!$B$177)^-(Inputs!$B$55-2044)),0)</f>
        <v>0</v>
      </c>
      <c r="W48" s="41" t="n">
        <f aca="false">IF(2045=Inputs!$B$176,X43/Inputs!$B$177*(1-(1+Inputs!$B$177)^-(Inputs!$B$55-2045)),0)</f>
        <v>0</v>
      </c>
      <c r="X48" s="41" t="n">
        <f aca="false">IF(2046=Inputs!$B$176,Y43/Inputs!$B$177*(1-(1+Inputs!$B$177)^-(Inputs!$B$55-2046)),0)</f>
        <v>0</v>
      </c>
      <c r="Y48" s="41" t="n">
        <f aca="false">IF(2047=Inputs!$B$176,Z43/Inputs!$B$177*(1-(1+Inputs!$B$177)^-(Inputs!$B$55-2047)),0)</f>
        <v>0</v>
      </c>
      <c r="Z48" s="41" t="n">
        <f aca="false">IF(2048=Inputs!$B$176,AA43/Inputs!$B$177*(1-(1+Inputs!$B$177)^-(Inputs!$B$55-2048)),0)</f>
        <v>0</v>
      </c>
      <c r="AA48" s="41" t="n">
        <f aca="false">IF(2049=Inputs!$B$176,AB43/Inputs!$B$177*(1-(1+Inputs!$B$177)^-(Inputs!$B$55-2049)),0)</f>
        <v>0</v>
      </c>
      <c r="AB48" s="41" t="n">
        <f aca="false">IF(2050=Inputs!$B$176,AC43/Inputs!$B$177*(1-(1+Inputs!$B$177)^-(Inputs!$B$55-2050)),0)</f>
        <v>0</v>
      </c>
      <c r="AC48" s="41" t="n">
        <f aca="false">IF(2051=Inputs!$B$176,AD43/Inputs!$B$177*(1-(1+Inputs!$B$177)^-(Inputs!$B$55-2051)),0)</f>
        <v>0</v>
      </c>
      <c r="AD48" s="41" t="n">
        <f aca="false">IF(2052=Inputs!$B$176,AE43/Inputs!$B$177*(1-(1+Inputs!$B$177)^-(Inputs!$B$55-2052)),0)</f>
        <v>0</v>
      </c>
      <c r="AE48" s="41" t="n">
        <f aca="false">IF(2053=Inputs!$B$176,AF43/Inputs!$B$177*(1-(1+Inputs!$B$177)^-(Inputs!$B$55-2053)),0)</f>
        <v>0</v>
      </c>
      <c r="AF48" s="41" t="n">
        <f aca="false">IF(2054=Inputs!$B$176,AG43/Inputs!$B$177*(1-(1+Inputs!$B$177)^-(Inputs!$B$55-2054)),0)</f>
        <v>0</v>
      </c>
      <c r="AG48" s="41" t="n">
        <f aca="false">IF(2055=Inputs!$B$176,AH43/Inputs!$B$177*(1-(1+Inputs!$B$177)^-(Inputs!$B$55-2055)),0)</f>
        <v>0</v>
      </c>
      <c r="AH48" s="41" t="n">
        <f aca="false">IF(2056=Inputs!$B$176,AI43/Inputs!$B$177*(1-(1+Inputs!$B$177)^-(Inputs!$B$55-2056)),0)</f>
        <v>0</v>
      </c>
      <c r="AI48" s="41" t="n">
        <f aca="false">IF(2057=Inputs!$B$176,AJ43/Inputs!$B$177*(1-(1+Inputs!$B$177)^-(Inputs!$B$55-2057)),0)</f>
        <v>0</v>
      </c>
      <c r="AJ48" s="41" t="n">
        <f aca="false">IF(2058=Inputs!$B$176,AK43/Inputs!$B$177*(1-(1+Inputs!$B$177)^-(Inputs!$B$55-2058)),0)</f>
        <v>0</v>
      </c>
      <c r="AK48" s="41" t="n">
        <f aca="false">IF(2059=Inputs!$B$176,AL43/Inputs!$B$177*(1-(1+Inputs!$B$177)^-(Inputs!$B$55-2059)),0)</f>
        <v>0</v>
      </c>
      <c r="AL48" s="41" t="n">
        <f aca="false">IF(2060=Inputs!$B$176,AM43/Inputs!$B$177*(1-(1+Inputs!$B$177)^-(Inputs!$B$55-2060)),0)</f>
        <v>0</v>
      </c>
      <c r="AM48" s="41" t="n">
        <f aca="false">IF(2061=Inputs!$B$176,AN43/Inputs!$B$177*(1-(1+Inputs!$B$177)^-(Inputs!$B$55-2061)),0)</f>
        <v>0</v>
      </c>
      <c r="AN48" s="41" t="n">
        <f aca="false">IF(2062=Inputs!$B$176,AO43/Inputs!$B$177*(1-(1+Inputs!$B$177)^-(Inputs!$B$55-2062)),0)</f>
        <v>0</v>
      </c>
      <c r="AO48" s="41" t="n">
        <f aca="false">IF(2063=Inputs!$B$176,AP43/Inputs!$B$177*(1-(1+Inputs!$B$177)^-(Inputs!$B$55-2063)),0)</f>
        <v>0</v>
      </c>
      <c r="AP48" s="41" t="n">
        <f aca="false">IF(2064=Inputs!$B$176,AQ43/Inputs!$B$177*(1-(1+Inputs!$B$177)^-(Inputs!$B$55-2064)),0)</f>
        <v>0</v>
      </c>
      <c r="AQ48" s="41" t="n">
        <f aca="false">IF(2065=Inputs!$B$176,AR43/Inputs!$B$177*(1-(1+Inputs!$B$177)^-(Inputs!$B$55-2065)),0)</f>
        <v>0</v>
      </c>
      <c r="AR48" s="41" t="n">
        <f aca="false">IF(2066=Inputs!$B$176,AS43/Inputs!$B$177*(1-(1+Inputs!$B$177)^-(Inputs!$B$55-2066)),0)</f>
        <v>0</v>
      </c>
      <c r="AS48" s="41" t="n">
        <f aca="false">IF(2067=Inputs!$B$176,AT43/Inputs!$B$177*(1-(1+Inputs!$B$177)^-(Inputs!$B$55-2067)),0)</f>
        <v>0</v>
      </c>
      <c r="AT48" s="41" t="n">
        <f aca="false">IF(2068=Inputs!$B$176,AU43/Inputs!$B$177*(1-(1+Inputs!$B$177)^-(Inputs!$B$55-2068)),0)</f>
        <v>0</v>
      </c>
      <c r="AU48" s="41" t="n">
        <f aca="false">IF(2069=Inputs!$B$176,AV43/Inputs!$B$177*(1-(1+Inputs!$B$177)^-(Inputs!$B$55-2069)),0)</f>
        <v>0</v>
      </c>
      <c r="AV48" s="41" t="n">
        <f aca="false">IF(2070=Inputs!$B$176,AW43/Inputs!$B$177*(1-(1+Inputs!$B$177)^-(Inputs!$B$55-2070)),0)</f>
        <v>0</v>
      </c>
      <c r="AW48" s="41" t="n">
        <f aca="false">IF(2071=Inputs!$B$176,AX43/Inputs!$B$177*(1-(1+Inputs!$B$177)^-(Inputs!$B$55-2071)),0)</f>
        <v>0</v>
      </c>
      <c r="AX48" s="41" t="n">
        <f aca="false">IF(2072=Inputs!$B$176,AY43/Inputs!$B$177*(1-(1+Inputs!$B$177)^-(Inputs!$B$55-2072)),0)</f>
        <v>0</v>
      </c>
      <c r="AY48" s="41" t="n">
        <f aca="false">IF(2073=Inputs!$B$176,AZ43/Inputs!$B$177*(1-(1+Inputs!$B$177)^-(Inputs!$B$55-2073)),0)</f>
        <v>0</v>
      </c>
      <c r="AZ48" s="41" t="n">
        <f aca="false">IF(2074=Inputs!$B$176,AZ43/Inputs!$B$177*(1-(1+Inputs!$B$177)^-(Inputs!$B$55-2074)),0)</f>
        <v>0</v>
      </c>
    </row>
    <row r="49" customFormat="false" ht="15" hidden="false" customHeight="true" outlineLevel="0" collapsed="false">
      <c r="A49" s="6" t="s">
        <v>609</v>
      </c>
      <c r="C49" s="21" t="n">
        <f aca="false">SUM(D49:AZ49)</f>
        <v>686.6485749147</v>
      </c>
      <c r="D49" s="21" t="n">
        <f aca="false">IF(2026&gt;Inputs!$B$176,0,D46+D48)</f>
        <v>0</v>
      </c>
      <c r="E49" s="21" t="n">
        <f aca="false">IF(2027&gt;Inputs!$B$176,0,E46+E48)</f>
        <v>-40.053878723584</v>
      </c>
      <c r="F49" s="21" t="n">
        <f aca="false">IF(2028&gt;Inputs!$B$176,0,F46+F48)</f>
        <v>-115.147666489856</v>
      </c>
      <c r="G49" s="21" t="n">
        <f aca="false">IF(2029&gt;Inputs!$B$176,0,G46+G48)</f>
        <v>-45.363221110715</v>
      </c>
      <c r="H49" s="21" t="n">
        <f aca="false">IF(2030&gt;Inputs!$B$176,0,H46+H48)</f>
        <v>33.3658712990541</v>
      </c>
      <c r="I49" s="21" t="n">
        <f aca="false">IF(2031&gt;Inputs!$B$176,0,I46+I48)</f>
        <v>37.1050430275907</v>
      </c>
      <c r="J49" s="21" t="n">
        <f aca="false">IF(2032&gt;Inputs!$B$176,0,J46+J48)</f>
        <v>37.9250644785005</v>
      </c>
      <c r="K49" s="21" t="n">
        <f aca="false">IF(2033&gt;Inputs!$B$176,0,K46+K48)</f>
        <v>38.7632084034754</v>
      </c>
      <c r="L49" s="21" t="n">
        <f aca="false">IF(2034&gt;Inputs!$B$176,0,L46+L48)</f>
        <v>39.6198753091922</v>
      </c>
      <c r="M49" s="21" t="n">
        <f aca="false">IF(2035&gt;Inputs!$B$176,0,M46+M48)</f>
        <v>40.4954745535253</v>
      </c>
      <c r="N49" s="21" t="n">
        <f aca="false">IF(2036&gt;Inputs!$B$176,0,N46+N48)</f>
        <v>41.3904245411582</v>
      </c>
      <c r="O49" s="21" t="n">
        <f aca="false">IF(2037&gt;Inputs!$B$176,0,O46+O48)</f>
        <v>42.3051529235178</v>
      </c>
      <c r="P49" s="21" t="n">
        <f aca="false">IF(2038&gt;Inputs!$B$176,0,P46+P48)</f>
        <v>43.2400968031276</v>
      </c>
      <c r="Q49" s="21" t="n">
        <f aca="false">IF(2039&gt;Inputs!$B$176,0,Q46+Q48)</f>
        <v>44.1957029424767</v>
      </c>
      <c r="R49" s="21" t="n">
        <f aca="false">IF(2040&gt;Inputs!$B$176,0,R46+R48)</f>
        <v>488.807426957236</v>
      </c>
      <c r="S49" s="21" t="n">
        <f aca="false">IF(2041&gt;Inputs!$B$176,0,S46+S48)</f>
        <v>0</v>
      </c>
      <c r="T49" s="21" t="n">
        <f aca="false">IF(2042&gt;Inputs!$B$176,0,T46+T48)</f>
        <v>0</v>
      </c>
      <c r="U49" s="21" t="n">
        <f aca="false">IF(2043&gt;Inputs!$B$176,0,U46+U48)</f>
        <v>0</v>
      </c>
      <c r="V49" s="21" t="n">
        <f aca="false">IF(2044&gt;Inputs!$B$176,0,V46+V48)</f>
        <v>0</v>
      </c>
      <c r="W49" s="21" t="n">
        <f aca="false">IF(2045&gt;Inputs!$B$176,0,W46+W48)</f>
        <v>0</v>
      </c>
      <c r="X49" s="21" t="n">
        <f aca="false">IF(2046&gt;Inputs!$B$176,0,X46+X48)</f>
        <v>0</v>
      </c>
      <c r="Y49" s="21" t="n">
        <f aca="false">IF(2047&gt;Inputs!$B$176,0,Y46+Y48)</f>
        <v>0</v>
      </c>
      <c r="Z49" s="21" t="n">
        <f aca="false">IF(2048&gt;Inputs!$B$176,0,Z46+Z48)</f>
        <v>0</v>
      </c>
      <c r="AA49" s="21" t="n">
        <f aca="false">IF(2049&gt;Inputs!$B$176,0,AA46+AA48)</f>
        <v>0</v>
      </c>
      <c r="AB49" s="21" t="n">
        <f aca="false">IF(2050&gt;Inputs!$B$176,0,AB46+AB48)</f>
        <v>0</v>
      </c>
      <c r="AC49" s="21" t="n">
        <f aca="false">IF(2051&gt;Inputs!$B$176,0,AC46+AC48)</f>
        <v>0</v>
      </c>
      <c r="AD49" s="21" t="n">
        <f aca="false">IF(2052&gt;Inputs!$B$176,0,AD46+AD48)</f>
        <v>0</v>
      </c>
      <c r="AE49" s="21" t="n">
        <f aca="false">IF(2053&gt;Inputs!$B$176,0,AE46+AE48)</f>
        <v>0</v>
      </c>
      <c r="AF49" s="21" t="n">
        <f aca="false">IF(2054&gt;Inputs!$B$176,0,AF46+AF48)</f>
        <v>0</v>
      </c>
      <c r="AG49" s="21" t="n">
        <f aca="false">IF(2055&gt;Inputs!$B$176,0,AG46+AG48)</f>
        <v>0</v>
      </c>
      <c r="AH49" s="21" t="n">
        <f aca="false">IF(2056&gt;Inputs!$B$176,0,AH46+AH48)</f>
        <v>0</v>
      </c>
      <c r="AI49" s="21" t="n">
        <f aca="false">IF(2057&gt;Inputs!$B$176,0,AI46+AI48)</f>
        <v>0</v>
      </c>
      <c r="AJ49" s="21" t="n">
        <f aca="false">IF(2058&gt;Inputs!$B$176,0,AJ46+AJ48)</f>
        <v>0</v>
      </c>
      <c r="AK49" s="21" t="n">
        <f aca="false">IF(2059&gt;Inputs!$B$176,0,AK46+AK48)</f>
        <v>0</v>
      </c>
      <c r="AL49" s="21" t="n">
        <f aca="false">IF(2060&gt;Inputs!$B$176,0,AL46+AL48)</f>
        <v>0</v>
      </c>
      <c r="AM49" s="21" t="n">
        <f aca="false">IF(2061&gt;Inputs!$B$176,0,AM46+AM48)</f>
        <v>0</v>
      </c>
      <c r="AN49" s="21" t="n">
        <f aca="false">IF(2062&gt;Inputs!$B$176,0,AN46+AN48)</f>
        <v>0</v>
      </c>
      <c r="AO49" s="21" t="n">
        <f aca="false">IF(2063&gt;Inputs!$B$176,0,AO46+AO48)</f>
        <v>0</v>
      </c>
      <c r="AP49" s="21" t="n">
        <f aca="false">IF(2064&gt;Inputs!$B$176,0,AP46+AP48)</f>
        <v>0</v>
      </c>
      <c r="AQ49" s="21" t="n">
        <f aca="false">IF(2065&gt;Inputs!$B$176,0,AQ46+AQ48)</f>
        <v>0</v>
      </c>
      <c r="AR49" s="21" t="n">
        <f aca="false">IF(2066&gt;Inputs!$B$176,0,AR46+AR48)</f>
        <v>0</v>
      </c>
      <c r="AS49" s="21" t="n">
        <f aca="false">IF(2067&gt;Inputs!$B$176,0,AS46+AS48)</f>
        <v>0</v>
      </c>
      <c r="AT49" s="21" t="n">
        <f aca="false">IF(2068&gt;Inputs!$B$176,0,AT46+AT48)</f>
        <v>0</v>
      </c>
      <c r="AU49" s="21" t="n">
        <f aca="false">IF(2069&gt;Inputs!$B$176,0,AU46+AU48)</f>
        <v>0</v>
      </c>
      <c r="AV49" s="21" t="n">
        <f aca="false">IF(2070&gt;Inputs!$B$176,0,AV46+AV48)</f>
        <v>0</v>
      </c>
      <c r="AW49" s="21" t="n">
        <f aca="false">IF(2071&gt;Inputs!$B$176,0,AW46+AW48)</f>
        <v>0</v>
      </c>
      <c r="AX49" s="21" t="n">
        <f aca="false">IF(2072&gt;Inputs!$B$176,0,AX46+AX48)</f>
        <v>0</v>
      </c>
      <c r="AY49" s="21" t="n">
        <f aca="false">IF(2073&gt;Inputs!$B$176,0,AY46+AY48)</f>
        <v>0</v>
      </c>
      <c r="AZ49" s="21" t="n">
        <f aca="false">IF(2074&gt;Inputs!$B$176,0,AZ46+AZ48)</f>
        <v>0</v>
      </c>
    </row>
    <row r="51" customFormat="false" ht="15" hidden="false" customHeight="true" outlineLevel="0" collapsed="false">
      <c r="A51" s="11" t="s">
        <v>610</v>
      </c>
      <c r="B51" s="47"/>
      <c r="C51" s="47"/>
    </row>
    <row r="52" customFormat="false" ht="15" hidden="false" customHeight="true" outlineLevel="0" collapsed="false">
      <c r="A52" s="6" t="s">
        <v>611</v>
      </c>
      <c r="C52" s="21" t="n">
        <f aca="false">IFERROR(C22,0)</f>
        <v>215.26939361792</v>
      </c>
    </row>
    <row r="53" customFormat="false" ht="15" hidden="false" customHeight="true" outlineLevel="0" collapsed="false">
      <c r="A53" s="6" t="s">
        <v>612</v>
      </c>
      <c r="C53" s="21" t="n">
        <f aca="false">IFERROR(J43,0)</f>
        <v>37.9250644785005</v>
      </c>
    </row>
    <row r="54" customFormat="false" ht="15" hidden="false" customHeight="true" outlineLevel="0" collapsed="false">
      <c r="A54" s="6" t="s">
        <v>613</v>
      </c>
      <c r="C54" s="52" t="n">
        <f aca="false">IFERROR(IF(J31=0,0,J43/J31),0)</f>
        <v>0.34608</v>
      </c>
    </row>
    <row r="55" customFormat="false" ht="15" hidden="false" customHeight="true" outlineLevel="0" collapsed="false">
      <c r="A55" s="6" t="s">
        <v>614</v>
      </c>
      <c r="C55" s="52" t="n">
        <f aca="false">IFERROR(J43/C22,0)</f>
        <v>0.176174902716609</v>
      </c>
    </row>
    <row r="56" customFormat="false" ht="15" hidden="false" customHeight="true" outlineLevel="0" collapsed="false">
      <c r="A56" s="6" t="s">
        <v>615</v>
      </c>
      <c r="C56" s="52" t="n">
        <f aca="false">IFERROR(IRR(D46:AZ46),0)</f>
        <v>0.174153224078377</v>
      </c>
    </row>
    <row r="57" customFormat="false" ht="15" hidden="false" customHeight="true" outlineLevel="0" collapsed="false">
      <c r="A57" s="6" t="s">
        <v>616</v>
      </c>
      <c r="C57" s="52" t="n">
        <f aca="false">IFERROR(IRR(D49:AZ49),0)</f>
        <v>0.189680705903918</v>
      </c>
    </row>
    <row r="58" customFormat="false" ht="15" hidden="false" customHeight="true" outlineLevel="0" collapsed="false">
      <c r="A58" s="6" t="s">
        <v>617</v>
      </c>
      <c r="C58" s="53" t="str">
        <f aca="false">IFERROR(INDEX(D4:AZ4,MATCH(TRUE(),INDEX(D47:AZ47&gt;0,0),0)),0)</f>
        <v>2035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Z6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0"/>
    <col collapsed="false" customWidth="true" hidden="false" outlineLevel="0" max="2" min="2" style="1" width="26"/>
    <col collapsed="false" customWidth="true" hidden="false" outlineLevel="0" max="3" min="3" style="1" width="11"/>
    <col collapsed="false" customWidth="true" hidden="false" outlineLevel="0" max="52" min="4" style="1" width="9.52"/>
  </cols>
  <sheetData>
    <row r="1" customFormat="false" ht="17.25" hidden="false" customHeight="true" outlineLevel="0" collapsed="false">
      <c r="A1" s="8" t="s">
        <v>618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customFormat="false" ht="15" hidden="false" customHeight="true" outlineLevel="0" collapsed="false">
      <c r="A2" s="10" t="s">
        <v>619</v>
      </c>
    </row>
    <row r="4" customFormat="false" ht="15" hidden="false" customHeight="true" outlineLevel="0" collapsed="false">
      <c r="A4" s="6" t="s">
        <v>336</v>
      </c>
      <c r="B4" s="6" t="s">
        <v>337</v>
      </c>
      <c r="C4" s="46" t="s">
        <v>338</v>
      </c>
      <c r="D4" s="39" t="s">
        <v>64</v>
      </c>
      <c r="E4" s="39" t="s">
        <v>65</v>
      </c>
      <c r="F4" s="39" t="s">
        <v>66</v>
      </c>
      <c r="G4" s="39" t="s">
        <v>339</v>
      </c>
      <c r="H4" s="39" t="s">
        <v>340</v>
      </c>
      <c r="I4" s="39" t="s">
        <v>341</v>
      </c>
      <c r="J4" s="39" t="s">
        <v>342</v>
      </c>
      <c r="K4" s="39" t="s">
        <v>343</v>
      </c>
      <c r="L4" s="39" t="s">
        <v>344</v>
      </c>
      <c r="M4" s="39" t="s">
        <v>345</v>
      </c>
      <c r="N4" s="39" t="s">
        <v>346</v>
      </c>
      <c r="O4" s="39" t="s">
        <v>347</v>
      </c>
      <c r="P4" s="39" t="s">
        <v>348</v>
      </c>
      <c r="Q4" s="39" t="s">
        <v>349</v>
      </c>
      <c r="R4" s="39" t="s">
        <v>350</v>
      </c>
      <c r="S4" s="39" t="s">
        <v>351</v>
      </c>
      <c r="T4" s="39" t="s">
        <v>352</v>
      </c>
      <c r="U4" s="39" t="s">
        <v>353</v>
      </c>
      <c r="V4" s="39" t="s">
        <v>354</v>
      </c>
      <c r="W4" s="39" t="s">
        <v>355</v>
      </c>
      <c r="X4" s="39" t="s">
        <v>356</v>
      </c>
      <c r="Y4" s="39" t="s">
        <v>357</v>
      </c>
      <c r="Z4" s="39" t="s">
        <v>358</v>
      </c>
      <c r="AA4" s="39" t="s">
        <v>359</v>
      </c>
      <c r="AB4" s="39" t="s">
        <v>360</v>
      </c>
      <c r="AC4" s="39" t="s">
        <v>361</v>
      </c>
      <c r="AD4" s="39" t="s">
        <v>362</v>
      </c>
      <c r="AE4" s="39" t="s">
        <v>363</v>
      </c>
      <c r="AF4" s="39" t="s">
        <v>364</v>
      </c>
      <c r="AG4" s="39" t="s">
        <v>365</v>
      </c>
      <c r="AH4" s="39" t="s">
        <v>366</v>
      </c>
      <c r="AI4" s="39" t="s">
        <v>367</v>
      </c>
      <c r="AJ4" s="39" t="s">
        <v>368</v>
      </c>
      <c r="AK4" s="39" t="s">
        <v>369</v>
      </c>
      <c r="AL4" s="39" t="s">
        <v>370</v>
      </c>
      <c r="AM4" s="39" t="s">
        <v>371</v>
      </c>
      <c r="AN4" s="39" t="s">
        <v>372</v>
      </c>
      <c r="AO4" s="39" t="s">
        <v>373</v>
      </c>
      <c r="AP4" s="39" t="s">
        <v>374</v>
      </c>
      <c r="AQ4" s="39" t="s">
        <v>375</v>
      </c>
      <c r="AR4" s="39" t="s">
        <v>376</v>
      </c>
      <c r="AS4" s="39" t="s">
        <v>377</v>
      </c>
      <c r="AT4" s="39" t="s">
        <v>378</v>
      </c>
      <c r="AU4" s="39" t="s">
        <v>379</v>
      </c>
      <c r="AV4" s="39" t="s">
        <v>380</v>
      </c>
      <c r="AW4" s="39" t="s">
        <v>381</v>
      </c>
      <c r="AX4" s="39" t="s">
        <v>382</v>
      </c>
      <c r="AY4" s="39" t="s">
        <v>383</v>
      </c>
      <c r="AZ4" s="39" t="s">
        <v>384</v>
      </c>
    </row>
    <row r="5" customFormat="false" ht="15" hidden="false" customHeight="true" outlineLevel="0" collapsed="false">
      <c r="A5" s="11" t="s">
        <v>587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</row>
    <row r="6" customFormat="false" ht="15" hidden="false" customHeight="true" outlineLevel="0" collapsed="false">
      <c r="A6" s="13" t="s">
        <v>67</v>
      </c>
      <c r="C6" s="41" t="n">
        <f aca="false">SUM(D6:AZ6)</f>
        <v>12.5653474281101</v>
      </c>
      <c r="D6" s="40" t="n">
        <f aca="false">(Inputs!$B$26*(Inputs!$B$195/(Inputs!$B$194+Inputs!$B$195+Inputs!$B$196))-(Inputs!$B$42*Inputs!$B$43)*Inputs!$B$26/(SUM(Inputs!$B$26:$D$26)+SUM(Inputs!$B$27:$D$27)))*Inputs!$B$5</f>
        <v>2.89969556033309</v>
      </c>
      <c r="E6" s="40" t="n">
        <f aca="false">(Inputs!$C$26*(Inputs!$B$195/(Inputs!$B$194+Inputs!$B$195+Inputs!$B$196))-(Inputs!$B$42*Inputs!$B$43)*Inputs!$C$26/(SUM(Inputs!$B$26:$D$26)+SUM(Inputs!$B$27:$D$27)))*Inputs!$B$5</f>
        <v>9.66565186777698</v>
      </c>
      <c r="F6" s="40" t="n">
        <f aca="false">(Inputs!$D$26*(Inputs!$B$195/(Inputs!$B$194+Inputs!$B$195+Inputs!$B$196))-(Inputs!$B$42*Inputs!$B$43)*Inputs!$D$26/(SUM(Inputs!$B$26:$D$26)+SUM(Inputs!$B$27:$D$27)))*Inputs!$B$5</f>
        <v>0</v>
      </c>
      <c r="G6" s="40" t="n">
        <v>0</v>
      </c>
      <c r="H6" s="40" t="n">
        <v>0</v>
      </c>
      <c r="I6" s="40" t="n">
        <v>0</v>
      </c>
      <c r="J6" s="40" t="n">
        <v>0</v>
      </c>
      <c r="K6" s="40" t="n">
        <v>0</v>
      </c>
      <c r="L6" s="40" t="n">
        <v>0</v>
      </c>
      <c r="M6" s="40" t="n">
        <v>0</v>
      </c>
      <c r="N6" s="40" t="n">
        <v>0</v>
      </c>
      <c r="O6" s="40" t="n">
        <v>0</v>
      </c>
      <c r="P6" s="40" t="n">
        <v>0</v>
      </c>
      <c r="Q6" s="40" t="n">
        <v>0</v>
      </c>
      <c r="R6" s="40" t="n">
        <v>0</v>
      </c>
      <c r="S6" s="40" t="n">
        <v>0</v>
      </c>
      <c r="T6" s="40" t="n">
        <v>0</v>
      </c>
      <c r="U6" s="40" t="n">
        <v>0</v>
      </c>
      <c r="V6" s="40" t="n">
        <v>0</v>
      </c>
      <c r="W6" s="40" t="n">
        <v>0</v>
      </c>
      <c r="X6" s="40" t="n">
        <v>0</v>
      </c>
      <c r="Y6" s="40" t="n">
        <v>0</v>
      </c>
      <c r="Z6" s="40" t="n">
        <v>0</v>
      </c>
      <c r="AA6" s="40" t="n">
        <v>0</v>
      </c>
      <c r="AB6" s="40" t="n">
        <v>0</v>
      </c>
      <c r="AC6" s="40" t="n">
        <v>0</v>
      </c>
      <c r="AD6" s="40" t="n">
        <v>0</v>
      </c>
      <c r="AE6" s="40" t="n">
        <v>0</v>
      </c>
      <c r="AF6" s="40" t="n">
        <v>0</v>
      </c>
      <c r="AG6" s="40" t="n">
        <v>0</v>
      </c>
      <c r="AH6" s="40" t="n">
        <v>0</v>
      </c>
      <c r="AI6" s="40" t="n">
        <v>0</v>
      </c>
      <c r="AJ6" s="40" t="n">
        <v>0</v>
      </c>
      <c r="AK6" s="40" t="n">
        <v>0</v>
      </c>
      <c r="AL6" s="40" t="n">
        <v>0</v>
      </c>
      <c r="AM6" s="40" t="n">
        <v>0</v>
      </c>
      <c r="AN6" s="40" t="n">
        <v>0</v>
      </c>
      <c r="AO6" s="40" t="n">
        <v>0</v>
      </c>
      <c r="AP6" s="40" t="n">
        <v>0</v>
      </c>
      <c r="AQ6" s="40" t="n">
        <v>0</v>
      </c>
      <c r="AR6" s="40" t="n">
        <v>0</v>
      </c>
      <c r="AS6" s="40" t="n">
        <v>0</v>
      </c>
      <c r="AT6" s="40" t="n">
        <v>0</v>
      </c>
      <c r="AU6" s="40" t="n">
        <v>0</v>
      </c>
      <c r="AV6" s="40" t="n">
        <v>0</v>
      </c>
      <c r="AW6" s="40" t="n">
        <v>0</v>
      </c>
      <c r="AX6" s="40" t="n">
        <v>0</v>
      </c>
      <c r="AY6" s="40" t="n">
        <v>0</v>
      </c>
      <c r="AZ6" s="40" t="n">
        <v>0</v>
      </c>
    </row>
    <row r="7" customFormat="false" ht="15" hidden="false" customHeight="true" outlineLevel="0" collapsed="false">
      <c r="A7" s="13" t="s">
        <v>68</v>
      </c>
      <c r="C7" s="41" t="n">
        <f aca="false">SUM(D7:AZ7)</f>
        <v>11.5987822413324</v>
      </c>
      <c r="D7" s="40" t="n">
        <f aca="false">(Inputs!$B$27*(Inputs!$B$195/(Inputs!$B$194+Inputs!$B$195+Inputs!$B$196))-(Inputs!$B$42*Inputs!$B$43)*Inputs!$B$27/(SUM(Inputs!$B$26:$D$26)+SUM(Inputs!$B$27:$D$27)))*Inputs!$B$5</f>
        <v>0</v>
      </c>
      <c r="E7" s="40" t="n">
        <f aca="false">(Inputs!$C$27*(Inputs!$B$195/(Inputs!$B$194+Inputs!$B$195+Inputs!$B$196))-(Inputs!$B$42*Inputs!$B$43)*Inputs!$C$27/(SUM(Inputs!$B$26:$D$26)+SUM(Inputs!$B$27:$D$27)))*Inputs!$B$5</f>
        <v>6.38899588460058</v>
      </c>
      <c r="F7" s="40" t="n">
        <f aca="false">(Inputs!$D$27*(Inputs!$B$195/(Inputs!$B$194+Inputs!$B$195+Inputs!$B$196))-(Inputs!$B$42*Inputs!$B$43)*Inputs!$D$27/(SUM(Inputs!$B$26:$D$26)+SUM(Inputs!$B$27:$D$27)))*Inputs!$B$5</f>
        <v>5.20978635673179</v>
      </c>
      <c r="G7" s="40" t="n">
        <v>0</v>
      </c>
      <c r="H7" s="40" t="n">
        <v>0</v>
      </c>
      <c r="I7" s="40" t="n">
        <v>0</v>
      </c>
      <c r="J7" s="40" t="n">
        <v>0</v>
      </c>
      <c r="K7" s="40" t="n">
        <v>0</v>
      </c>
      <c r="L7" s="40" t="n">
        <v>0</v>
      </c>
      <c r="M7" s="40" t="n">
        <v>0</v>
      </c>
      <c r="N7" s="40" t="n">
        <v>0</v>
      </c>
      <c r="O7" s="40" t="n">
        <v>0</v>
      </c>
      <c r="P7" s="40" t="n">
        <v>0</v>
      </c>
      <c r="Q7" s="40" t="n">
        <v>0</v>
      </c>
      <c r="R7" s="40" t="n">
        <v>0</v>
      </c>
      <c r="S7" s="40" t="n">
        <v>0</v>
      </c>
      <c r="T7" s="40" t="n">
        <v>0</v>
      </c>
      <c r="U7" s="40" t="n">
        <v>0</v>
      </c>
      <c r="V7" s="40" t="n">
        <v>0</v>
      </c>
      <c r="W7" s="40" t="n">
        <v>0</v>
      </c>
      <c r="X7" s="40" t="n">
        <v>0</v>
      </c>
      <c r="Y7" s="40" t="n">
        <v>0</v>
      </c>
      <c r="Z7" s="40" t="n">
        <v>0</v>
      </c>
      <c r="AA7" s="40" t="n">
        <v>0</v>
      </c>
      <c r="AB7" s="40" t="n">
        <v>0</v>
      </c>
      <c r="AC7" s="40" t="n">
        <v>0</v>
      </c>
      <c r="AD7" s="40" t="n">
        <v>0</v>
      </c>
      <c r="AE7" s="40" t="n">
        <v>0</v>
      </c>
      <c r="AF7" s="40" t="n">
        <v>0</v>
      </c>
      <c r="AG7" s="40" t="n">
        <v>0</v>
      </c>
      <c r="AH7" s="40" t="n">
        <v>0</v>
      </c>
      <c r="AI7" s="40" t="n">
        <v>0</v>
      </c>
      <c r="AJ7" s="40" t="n">
        <v>0</v>
      </c>
      <c r="AK7" s="40" t="n">
        <v>0</v>
      </c>
      <c r="AL7" s="40" t="n">
        <v>0</v>
      </c>
      <c r="AM7" s="40" t="n">
        <v>0</v>
      </c>
      <c r="AN7" s="40" t="n">
        <v>0</v>
      </c>
      <c r="AO7" s="40" t="n">
        <v>0</v>
      </c>
      <c r="AP7" s="40" t="n">
        <v>0</v>
      </c>
      <c r="AQ7" s="40" t="n">
        <v>0</v>
      </c>
      <c r="AR7" s="40" t="n">
        <v>0</v>
      </c>
      <c r="AS7" s="40" t="n">
        <v>0</v>
      </c>
      <c r="AT7" s="40" t="n">
        <v>0</v>
      </c>
      <c r="AU7" s="40" t="n">
        <v>0</v>
      </c>
      <c r="AV7" s="40" t="n">
        <v>0</v>
      </c>
      <c r="AW7" s="40" t="n">
        <v>0</v>
      </c>
      <c r="AX7" s="40" t="n">
        <v>0</v>
      </c>
      <c r="AY7" s="40" t="n">
        <v>0</v>
      </c>
      <c r="AZ7" s="40" t="n">
        <v>0</v>
      </c>
    </row>
    <row r="8" customFormat="false" ht="15" hidden="false" customHeight="true" outlineLevel="0" collapsed="false">
      <c r="A8" s="13" t="s">
        <v>69</v>
      </c>
      <c r="C8" s="41" t="n">
        <f aca="false">SUM(D8:AZ8)</f>
        <v>11.8619563074439</v>
      </c>
      <c r="D8" s="40" t="n">
        <f aca="false">Inputs!$B$28*(Inputs!$B$195/(Inputs!$B$194+Inputs!$B$195+Inputs!$B$196))*Inputs!$B$5</f>
        <v>0</v>
      </c>
      <c r="E8" s="40" t="n">
        <f aca="false">Inputs!$C$28*(Inputs!$B$195/(Inputs!$B$194+Inputs!$B$195+Inputs!$B$196))*Inputs!$B$5</f>
        <v>7.48997812555742</v>
      </c>
      <c r="F8" s="40" t="n">
        <f aca="false">Inputs!$D$28*(Inputs!$B$195/(Inputs!$B$194+Inputs!$B$195+Inputs!$B$196))*Inputs!$B$5</f>
        <v>4.37197818188646</v>
      </c>
      <c r="G8" s="40" t="n">
        <v>0</v>
      </c>
      <c r="H8" s="40" t="n">
        <v>0</v>
      </c>
      <c r="I8" s="40" t="n">
        <v>0</v>
      </c>
      <c r="J8" s="40" t="n">
        <v>0</v>
      </c>
      <c r="K8" s="40" t="n">
        <v>0</v>
      </c>
      <c r="L8" s="40" t="n">
        <v>0</v>
      </c>
      <c r="M8" s="40" t="n">
        <v>0</v>
      </c>
      <c r="N8" s="40" t="n">
        <v>0</v>
      </c>
      <c r="O8" s="40" t="n">
        <v>0</v>
      </c>
      <c r="P8" s="40" t="n">
        <v>0</v>
      </c>
      <c r="Q8" s="40" t="n">
        <v>0</v>
      </c>
      <c r="R8" s="40" t="n">
        <v>0</v>
      </c>
      <c r="S8" s="40" t="n">
        <v>0</v>
      </c>
      <c r="T8" s="40" t="n">
        <v>0</v>
      </c>
      <c r="U8" s="40" t="n">
        <v>0</v>
      </c>
      <c r="V8" s="40" t="n">
        <v>0</v>
      </c>
      <c r="W8" s="40" t="n">
        <v>0</v>
      </c>
      <c r="X8" s="40" t="n">
        <v>0</v>
      </c>
      <c r="Y8" s="40" t="n">
        <v>0</v>
      </c>
      <c r="Z8" s="40" t="n">
        <v>0</v>
      </c>
      <c r="AA8" s="40" t="n">
        <v>0</v>
      </c>
      <c r="AB8" s="40" t="n">
        <v>0</v>
      </c>
      <c r="AC8" s="40" t="n">
        <v>0</v>
      </c>
      <c r="AD8" s="40" t="n">
        <v>0</v>
      </c>
      <c r="AE8" s="40" t="n">
        <v>0</v>
      </c>
      <c r="AF8" s="40" t="n">
        <v>0</v>
      </c>
      <c r="AG8" s="40" t="n">
        <v>0</v>
      </c>
      <c r="AH8" s="40" t="n">
        <v>0</v>
      </c>
      <c r="AI8" s="40" t="n">
        <v>0</v>
      </c>
      <c r="AJ8" s="40" t="n">
        <v>0</v>
      </c>
      <c r="AK8" s="40" t="n">
        <v>0</v>
      </c>
      <c r="AL8" s="40" t="n">
        <v>0</v>
      </c>
      <c r="AM8" s="40" t="n">
        <v>0</v>
      </c>
      <c r="AN8" s="40" t="n">
        <v>0</v>
      </c>
      <c r="AO8" s="40" t="n">
        <v>0</v>
      </c>
      <c r="AP8" s="40" t="n">
        <v>0</v>
      </c>
      <c r="AQ8" s="40" t="n">
        <v>0</v>
      </c>
      <c r="AR8" s="40" t="n">
        <v>0</v>
      </c>
      <c r="AS8" s="40" t="n">
        <v>0</v>
      </c>
      <c r="AT8" s="40" t="n">
        <v>0</v>
      </c>
      <c r="AU8" s="40" t="n">
        <v>0</v>
      </c>
      <c r="AV8" s="40" t="n">
        <v>0</v>
      </c>
      <c r="AW8" s="40" t="n">
        <v>0</v>
      </c>
      <c r="AX8" s="40" t="n">
        <v>0</v>
      </c>
      <c r="AY8" s="40" t="n">
        <v>0</v>
      </c>
      <c r="AZ8" s="40" t="n">
        <v>0</v>
      </c>
    </row>
    <row r="9" customFormat="false" ht="15" hidden="false" customHeight="true" outlineLevel="0" collapsed="false">
      <c r="A9" s="13" t="s">
        <v>70</v>
      </c>
      <c r="C9" s="41" t="n">
        <f aca="false">SUM(D9:AZ9)</f>
        <v>11.0316193659228</v>
      </c>
      <c r="D9" s="40" t="n">
        <f aca="false">Inputs!$B$29*(Inputs!$B$195/(Inputs!$B$194+Inputs!$B$195+Inputs!$B$196))*Inputs!$B$5</f>
        <v>0.457532600429978</v>
      </c>
      <c r="E9" s="40" t="n">
        <f aca="false">Inputs!$C$29*(Inputs!$B$195/(Inputs!$B$194+Inputs!$B$195+Inputs!$B$196))*Inputs!$B$5</f>
        <v>5.35482599021753</v>
      </c>
      <c r="F9" s="40" t="n">
        <f aca="false">Inputs!$D$29*(Inputs!$B$195/(Inputs!$B$194+Inputs!$B$195+Inputs!$B$196))*Inputs!$B$5</f>
        <v>5.21926077527531</v>
      </c>
      <c r="G9" s="40" t="n">
        <v>0</v>
      </c>
      <c r="H9" s="40" t="n">
        <v>0</v>
      </c>
      <c r="I9" s="40" t="n">
        <v>0</v>
      </c>
      <c r="J9" s="40" t="n">
        <v>0</v>
      </c>
      <c r="K9" s="40" t="n">
        <v>0</v>
      </c>
      <c r="L9" s="40" t="n">
        <v>0</v>
      </c>
      <c r="M9" s="40" t="n">
        <v>0</v>
      </c>
      <c r="N9" s="40" t="n">
        <v>0</v>
      </c>
      <c r="O9" s="40" t="n">
        <v>0</v>
      </c>
      <c r="P9" s="40" t="n">
        <v>0</v>
      </c>
      <c r="Q9" s="40" t="n">
        <v>0</v>
      </c>
      <c r="R9" s="40" t="n">
        <v>0</v>
      </c>
      <c r="S9" s="40" t="n">
        <v>0</v>
      </c>
      <c r="T9" s="40" t="n">
        <v>0</v>
      </c>
      <c r="U9" s="40" t="n">
        <v>0</v>
      </c>
      <c r="V9" s="40" t="n">
        <v>0</v>
      </c>
      <c r="W9" s="40" t="n">
        <v>0</v>
      </c>
      <c r="X9" s="40" t="n">
        <v>0</v>
      </c>
      <c r="Y9" s="40" t="n">
        <v>0</v>
      </c>
      <c r="Z9" s="40" t="n">
        <v>0</v>
      </c>
      <c r="AA9" s="40" t="n">
        <v>0</v>
      </c>
      <c r="AB9" s="40" t="n">
        <v>0</v>
      </c>
      <c r="AC9" s="40" t="n">
        <v>0</v>
      </c>
      <c r="AD9" s="40" t="n">
        <v>0</v>
      </c>
      <c r="AE9" s="40" t="n">
        <v>0</v>
      </c>
      <c r="AF9" s="40" t="n">
        <v>0</v>
      </c>
      <c r="AG9" s="40" t="n">
        <v>0</v>
      </c>
      <c r="AH9" s="40" t="n">
        <v>0</v>
      </c>
      <c r="AI9" s="40" t="n">
        <v>0</v>
      </c>
      <c r="AJ9" s="40" t="n">
        <v>0</v>
      </c>
      <c r="AK9" s="40" t="n">
        <v>0</v>
      </c>
      <c r="AL9" s="40" t="n">
        <v>0</v>
      </c>
      <c r="AM9" s="40" t="n">
        <v>0</v>
      </c>
      <c r="AN9" s="40" t="n">
        <v>0</v>
      </c>
      <c r="AO9" s="40" t="n">
        <v>0</v>
      </c>
      <c r="AP9" s="40" t="n">
        <v>0</v>
      </c>
      <c r="AQ9" s="40" t="n">
        <v>0</v>
      </c>
      <c r="AR9" s="40" t="n">
        <v>0</v>
      </c>
      <c r="AS9" s="40" t="n">
        <v>0</v>
      </c>
      <c r="AT9" s="40" t="n">
        <v>0</v>
      </c>
      <c r="AU9" s="40" t="n">
        <v>0</v>
      </c>
      <c r="AV9" s="40" t="n">
        <v>0</v>
      </c>
      <c r="AW9" s="40" t="n">
        <v>0</v>
      </c>
      <c r="AX9" s="40" t="n">
        <v>0</v>
      </c>
      <c r="AY9" s="40" t="n">
        <v>0</v>
      </c>
      <c r="AZ9" s="40" t="n">
        <v>0</v>
      </c>
    </row>
    <row r="10" customFormat="false" ht="15" hidden="false" customHeight="true" outlineLevel="0" collapsed="false">
      <c r="A10" s="13" t="s">
        <v>328</v>
      </c>
      <c r="C10" s="41" t="n">
        <f aca="false">SUM(D10:AZ10)</f>
        <v>0</v>
      </c>
      <c r="D10" s="40" t="n">
        <v>0</v>
      </c>
      <c r="E10" s="40" t="n">
        <v>0</v>
      </c>
      <c r="F10" s="40" t="n">
        <v>0</v>
      </c>
      <c r="G10" s="40" t="n">
        <v>0</v>
      </c>
      <c r="H10" s="40" t="n">
        <v>0</v>
      </c>
      <c r="I10" s="40" t="n">
        <v>0</v>
      </c>
      <c r="J10" s="40" t="n">
        <v>0</v>
      </c>
      <c r="K10" s="40" t="n">
        <v>0</v>
      </c>
      <c r="L10" s="40" t="n">
        <v>0</v>
      </c>
      <c r="M10" s="40" t="n">
        <v>0</v>
      </c>
      <c r="N10" s="40" t="n">
        <v>0</v>
      </c>
      <c r="O10" s="40" t="n">
        <v>0</v>
      </c>
      <c r="P10" s="40" t="n">
        <v>0</v>
      </c>
      <c r="Q10" s="40" t="n">
        <v>0</v>
      </c>
      <c r="R10" s="40" t="n">
        <v>0</v>
      </c>
      <c r="S10" s="40" t="n">
        <v>0</v>
      </c>
      <c r="T10" s="40" t="n">
        <v>0</v>
      </c>
      <c r="U10" s="40" t="n">
        <v>0</v>
      </c>
      <c r="V10" s="40" t="n">
        <v>0</v>
      </c>
      <c r="W10" s="40" t="n">
        <v>0</v>
      </c>
      <c r="X10" s="40" t="n">
        <v>0</v>
      </c>
      <c r="Y10" s="40" t="n">
        <v>0</v>
      </c>
      <c r="Z10" s="40" t="n">
        <v>0</v>
      </c>
      <c r="AA10" s="40" t="n">
        <v>0</v>
      </c>
      <c r="AB10" s="40" t="n">
        <v>0</v>
      </c>
      <c r="AC10" s="40" t="n">
        <v>0</v>
      </c>
      <c r="AD10" s="40" t="n">
        <v>0</v>
      </c>
      <c r="AE10" s="40" t="n">
        <v>0</v>
      </c>
      <c r="AF10" s="40" t="n">
        <v>0</v>
      </c>
      <c r="AG10" s="40" t="n">
        <v>0</v>
      </c>
      <c r="AH10" s="40" t="n">
        <v>0</v>
      </c>
      <c r="AI10" s="40" t="n">
        <v>0</v>
      </c>
      <c r="AJ10" s="40" t="n">
        <v>0</v>
      </c>
      <c r="AK10" s="40" t="n">
        <v>0</v>
      </c>
      <c r="AL10" s="40" t="n">
        <v>0</v>
      </c>
      <c r="AM10" s="40" t="n">
        <v>0</v>
      </c>
      <c r="AN10" s="40" t="n">
        <v>0</v>
      </c>
      <c r="AO10" s="40" t="n">
        <v>0</v>
      </c>
      <c r="AP10" s="40" t="n">
        <v>0</v>
      </c>
      <c r="AQ10" s="40" t="n">
        <v>0</v>
      </c>
      <c r="AR10" s="40" t="n">
        <v>0</v>
      </c>
      <c r="AS10" s="40" t="n">
        <v>0</v>
      </c>
      <c r="AT10" s="40" t="n">
        <v>0</v>
      </c>
      <c r="AU10" s="40" t="n">
        <v>0</v>
      </c>
      <c r="AV10" s="40" t="n">
        <v>0</v>
      </c>
      <c r="AW10" s="40" t="n">
        <v>0</v>
      </c>
      <c r="AX10" s="40" t="n">
        <v>0</v>
      </c>
      <c r="AY10" s="40" t="n">
        <v>0</v>
      </c>
      <c r="AZ10" s="40" t="n">
        <v>0</v>
      </c>
    </row>
    <row r="11" customFormat="false" ht="15" hidden="false" customHeight="true" outlineLevel="0" collapsed="false">
      <c r="A11" s="13" t="s">
        <v>72</v>
      </c>
      <c r="C11" s="41" t="n">
        <f aca="false">SUM(D11:AZ11)</f>
        <v>60</v>
      </c>
      <c r="D11" s="40" t="n">
        <f aca="false">Inputs!$B$31*Inputs!$B$5</f>
        <v>0</v>
      </c>
      <c r="E11" s="40" t="n">
        <f aca="false">Inputs!$C$31*Inputs!$B$5</f>
        <v>21.8</v>
      </c>
      <c r="F11" s="40" t="n">
        <f aca="false">Inputs!$D$31*Inputs!$B$5</f>
        <v>38.2</v>
      </c>
      <c r="G11" s="40" t="n">
        <v>0</v>
      </c>
      <c r="H11" s="40" t="n">
        <v>0</v>
      </c>
      <c r="I11" s="40" t="n">
        <v>0</v>
      </c>
      <c r="J11" s="40" t="n">
        <v>0</v>
      </c>
      <c r="K11" s="40" t="n">
        <v>0</v>
      </c>
      <c r="L11" s="40" t="n">
        <v>0</v>
      </c>
      <c r="M11" s="40" t="n">
        <v>0</v>
      </c>
      <c r="N11" s="40" t="n">
        <v>0</v>
      </c>
      <c r="O11" s="40" t="n">
        <v>0</v>
      </c>
      <c r="P11" s="40" t="n">
        <v>0</v>
      </c>
      <c r="Q11" s="40" t="n">
        <v>0</v>
      </c>
      <c r="R11" s="40" t="n">
        <v>0</v>
      </c>
      <c r="S11" s="40" t="n">
        <v>0</v>
      </c>
      <c r="T11" s="40" t="n">
        <v>0</v>
      </c>
      <c r="U11" s="40" t="n">
        <v>0</v>
      </c>
      <c r="V11" s="40" t="n">
        <v>0</v>
      </c>
      <c r="W11" s="40" t="n">
        <v>0</v>
      </c>
      <c r="X11" s="40" t="n">
        <v>0</v>
      </c>
      <c r="Y11" s="40" t="n">
        <v>0</v>
      </c>
      <c r="Z11" s="40" t="n">
        <v>0</v>
      </c>
      <c r="AA11" s="40" t="n">
        <v>0</v>
      </c>
      <c r="AB11" s="40" t="n">
        <v>0</v>
      </c>
      <c r="AC11" s="40" t="n">
        <v>0</v>
      </c>
      <c r="AD11" s="40" t="n">
        <v>0</v>
      </c>
      <c r="AE11" s="40" t="n">
        <v>0</v>
      </c>
      <c r="AF11" s="40" t="n">
        <v>0</v>
      </c>
      <c r="AG11" s="40" t="n">
        <v>0</v>
      </c>
      <c r="AH11" s="40" t="n">
        <v>0</v>
      </c>
      <c r="AI11" s="40" t="n">
        <v>0</v>
      </c>
      <c r="AJ11" s="40" t="n">
        <v>0</v>
      </c>
      <c r="AK11" s="40" t="n">
        <v>0</v>
      </c>
      <c r="AL11" s="40" t="n">
        <v>0</v>
      </c>
      <c r="AM11" s="40" t="n">
        <v>0</v>
      </c>
      <c r="AN11" s="40" t="n">
        <v>0</v>
      </c>
      <c r="AO11" s="40" t="n">
        <v>0</v>
      </c>
      <c r="AP11" s="40" t="n">
        <v>0</v>
      </c>
      <c r="AQ11" s="40" t="n">
        <v>0</v>
      </c>
      <c r="AR11" s="40" t="n">
        <v>0</v>
      </c>
      <c r="AS11" s="40" t="n">
        <v>0</v>
      </c>
      <c r="AT11" s="40" t="n">
        <v>0</v>
      </c>
      <c r="AU11" s="40" t="n">
        <v>0</v>
      </c>
      <c r="AV11" s="40" t="n">
        <v>0</v>
      </c>
      <c r="AW11" s="40" t="n">
        <v>0</v>
      </c>
      <c r="AX11" s="40" t="n">
        <v>0</v>
      </c>
      <c r="AY11" s="40" t="n">
        <v>0</v>
      </c>
      <c r="AZ11" s="40" t="n">
        <v>0</v>
      </c>
    </row>
    <row r="12" customFormat="false" ht="15" hidden="false" customHeight="true" outlineLevel="0" collapsed="false">
      <c r="A12" s="13" t="s">
        <v>73</v>
      </c>
      <c r="C12" s="41" t="n">
        <f aca="false">SUM(D12:AZ12)</f>
        <v>1.86402170545547</v>
      </c>
      <c r="D12" s="40" t="n">
        <f aca="false">Inputs!$B$32*(Inputs!$B$195/(Inputs!$B$194+Inputs!$B$195+Inputs!$B$196))*Inputs!$B$5</f>
        <v>0.220293474281101</v>
      </c>
      <c r="E12" s="40" t="n">
        <f aca="false">Inputs!$C$32*(Inputs!$B$195/(Inputs!$B$194+Inputs!$B$195+Inputs!$B$196))*Inputs!$B$5</f>
        <v>1.2539782382155</v>
      </c>
      <c r="F12" s="40" t="n">
        <f aca="false">Inputs!$D$32*(Inputs!$B$195/(Inputs!$B$194+Inputs!$B$195+Inputs!$B$196))*Inputs!$B$5</f>
        <v>0.38974999295887</v>
      </c>
      <c r="G12" s="40" t="n">
        <v>0</v>
      </c>
      <c r="H12" s="40" t="n">
        <v>0</v>
      </c>
      <c r="I12" s="40" t="n">
        <v>0</v>
      </c>
      <c r="J12" s="40" t="n">
        <v>0</v>
      </c>
      <c r="K12" s="40" t="n">
        <v>0</v>
      </c>
      <c r="L12" s="40" t="n">
        <v>0</v>
      </c>
      <c r="M12" s="40" t="n">
        <v>0</v>
      </c>
      <c r="N12" s="40" t="n">
        <v>0</v>
      </c>
      <c r="O12" s="40" t="n">
        <v>0</v>
      </c>
      <c r="P12" s="40" t="n">
        <v>0</v>
      </c>
      <c r="Q12" s="40" t="n">
        <v>0</v>
      </c>
      <c r="R12" s="40" t="n">
        <v>0</v>
      </c>
      <c r="S12" s="40" t="n">
        <v>0</v>
      </c>
      <c r="T12" s="40" t="n">
        <v>0</v>
      </c>
      <c r="U12" s="40" t="n">
        <v>0</v>
      </c>
      <c r="V12" s="40" t="n">
        <v>0</v>
      </c>
      <c r="W12" s="40" t="n">
        <v>0</v>
      </c>
      <c r="X12" s="40" t="n">
        <v>0</v>
      </c>
      <c r="Y12" s="40" t="n">
        <v>0</v>
      </c>
      <c r="Z12" s="40" t="n">
        <v>0</v>
      </c>
      <c r="AA12" s="40" t="n">
        <v>0</v>
      </c>
      <c r="AB12" s="40" t="n">
        <v>0</v>
      </c>
      <c r="AC12" s="40" t="n">
        <v>0</v>
      </c>
      <c r="AD12" s="40" t="n">
        <v>0</v>
      </c>
      <c r="AE12" s="40" t="n">
        <v>0</v>
      </c>
      <c r="AF12" s="40" t="n">
        <v>0</v>
      </c>
      <c r="AG12" s="40" t="n">
        <v>0</v>
      </c>
      <c r="AH12" s="40" t="n">
        <v>0</v>
      </c>
      <c r="AI12" s="40" t="n">
        <v>0</v>
      </c>
      <c r="AJ12" s="40" t="n">
        <v>0</v>
      </c>
      <c r="AK12" s="40" t="n">
        <v>0</v>
      </c>
      <c r="AL12" s="40" t="n">
        <v>0</v>
      </c>
      <c r="AM12" s="40" t="n">
        <v>0</v>
      </c>
      <c r="AN12" s="40" t="n">
        <v>0</v>
      </c>
      <c r="AO12" s="40" t="n">
        <v>0</v>
      </c>
      <c r="AP12" s="40" t="n">
        <v>0</v>
      </c>
      <c r="AQ12" s="40" t="n">
        <v>0</v>
      </c>
      <c r="AR12" s="40" t="n">
        <v>0</v>
      </c>
      <c r="AS12" s="40" t="n">
        <v>0</v>
      </c>
      <c r="AT12" s="40" t="n">
        <v>0</v>
      </c>
      <c r="AU12" s="40" t="n">
        <v>0</v>
      </c>
      <c r="AV12" s="40" t="n">
        <v>0</v>
      </c>
      <c r="AW12" s="40" t="n">
        <v>0</v>
      </c>
      <c r="AX12" s="40" t="n">
        <v>0</v>
      </c>
      <c r="AY12" s="40" t="n">
        <v>0</v>
      </c>
      <c r="AZ12" s="40" t="n">
        <v>0</v>
      </c>
    </row>
    <row r="13" customFormat="false" ht="15" hidden="false" customHeight="true" outlineLevel="0" collapsed="false">
      <c r="A13" s="13" t="s">
        <v>74</v>
      </c>
      <c r="C13" s="41" t="n">
        <f aca="false">SUM(D13:AZ13)</f>
        <v>0.677826074711079</v>
      </c>
      <c r="D13" s="40" t="n">
        <f aca="false">Inputs!$B$33*(Inputs!$B$195/(Inputs!$B$194+Inputs!$B$195+Inputs!$B$196))*Inputs!$B$5</f>
        <v>0.135565214942216</v>
      </c>
      <c r="E13" s="40" t="n">
        <f aca="false">Inputs!$C$33*(Inputs!$B$195/(Inputs!$B$194+Inputs!$B$195+Inputs!$B$196))*Inputs!$B$5</f>
        <v>0.33891303735554</v>
      </c>
      <c r="F13" s="40" t="n">
        <f aca="false">Inputs!$D$33*(Inputs!$B$195/(Inputs!$B$194+Inputs!$B$195+Inputs!$B$196))*Inputs!$B$5</f>
        <v>0.203347822413324</v>
      </c>
      <c r="G13" s="40" t="n">
        <v>0</v>
      </c>
      <c r="H13" s="40" t="n">
        <v>0</v>
      </c>
      <c r="I13" s="40" t="n">
        <v>0</v>
      </c>
      <c r="J13" s="40" t="n">
        <v>0</v>
      </c>
      <c r="K13" s="40" t="n">
        <v>0</v>
      </c>
      <c r="L13" s="40" t="n">
        <v>0</v>
      </c>
      <c r="M13" s="40" t="n">
        <v>0</v>
      </c>
      <c r="N13" s="40" t="n">
        <v>0</v>
      </c>
      <c r="O13" s="40" t="n">
        <v>0</v>
      </c>
      <c r="P13" s="40" t="n">
        <v>0</v>
      </c>
      <c r="Q13" s="40" t="n">
        <v>0</v>
      </c>
      <c r="R13" s="40" t="n">
        <v>0</v>
      </c>
      <c r="S13" s="40" t="n">
        <v>0</v>
      </c>
      <c r="T13" s="40" t="n">
        <v>0</v>
      </c>
      <c r="U13" s="40" t="n">
        <v>0</v>
      </c>
      <c r="V13" s="40" t="n">
        <v>0</v>
      </c>
      <c r="W13" s="40" t="n">
        <v>0</v>
      </c>
      <c r="X13" s="40" t="n">
        <v>0</v>
      </c>
      <c r="Y13" s="40" t="n">
        <v>0</v>
      </c>
      <c r="Z13" s="40" t="n">
        <v>0</v>
      </c>
      <c r="AA13" s="40" t="n">
        <v>0</v>
      </c>
      <c r="AB13" s="40" t="n">
        <v>0</v>
      </c>
      <c r="AC13" s="40" t="n">
        <v>0</v>
      </c>
      <c r="AD13" s="40" t="n">
        <v>0</v>
      </c>
      <c r="AE13" s="40" t="n">
        <v>0</v>
      </c>
      <c r="AF13" s="40" t="n">
        <v>0</v>
      </c>
      <c r="AG13" s="40" t="n">
        <v>0</v>
      </c>
      <c r="AH13" s="40" t="n">
        <v>0</v>
      </c>
      <c r="AI13" s="40" t="n">
        <v>0</v>
      </c>
      <c r="AJ13" s="40" t="n">
        <v>0</v>
      </c>
      <c r="AK13" s="40" t="n">
        <v>0</v>
      </c>
      <c r="AL13" s="40" t="n">
        <v>0</v>
      </c>
      <c r="AM13" s="40" t="n">
        <v>0</v>
      </c>
      <c r="AN13" s="40" t="n">
        <v>0</v>
      </c>
      <c r="AO13" s="40" t="n">
        <v>0</v>
      </c>
      <c r="AP13" s="40" t="n">
        <v>0</v>
      </c>
      <c r="AQ13" s="40" t="n">
        <v>0</v>
      </c>
      <c r="AR13" s="40" t="n">
        <v>0</v>
      </c>
      <c r="AS13" s="40" t="n">
        <v>0</v>
      </c>
      <c r="AT13" s="40" t="n">
        <v>0</v>
      </c>
      <c r="AU13" s="40" t="n">
        <v>0</v>
      </c>
      <c r="AV13" s="40" t="n">
        <v>0</v>
      </c>
      <c r="AW13" s="40" t="n">
        <v>0</v>
      </c>
      <c r="AX13" s="40" t="n">
        <v>0</v>
      </c>
      <c r="AY13" s="40" t="n">
        <v>0</v>
      </c>
      <c r="AZ13" s="40" t="n">
        <v>0</v>
      </c>
    </row>
    <row r="14" customFormat="false" ht="15" hidden="false" customHeight="true" outlineLevel="0" collapsed="false">
      <c r="A14" s="13" t="s">
        <v>75</v>
      </c>
      <c r="C14" s="41" t="n">
        <f aca="false">SUM(D14:AZ14)</f>
        <v>2.54184778016655</v>
      </c>
      <c r="D14" s="40" t="n">
        <f aca="false">Inputs!$B$34*(Inputs!$B$195/(Inputs!$B$194+Inputs!$B$195+Inputs!$B$196))*Inputs!$B$5</f>
        <v>1.99958692039768</v>
      </c>
      <c r="E14" s="40" t="n">
        <f aca="false">Inputs!$C$34*(Inputs!$B$195/(Inputs!$B$194+Inputs!$B$195+Inputs!$B$196))*Inputs!$B$5</f>
        <v>0.542260859768863</v>
      </c>
      <c r="F14" s="40" t="n">
        <f aca="false">Inputs!$D$34*(Inputs!$B$195/(Inputs!$B$194+Inputs!$B$195+Inputs!$B$196))*Inputs!$B$5</f>
        <v>0</v>
      </c>
      <c r="G14" s="40" t="n">
        <v>0</v>
      </c>
      <c r="H14" s="40" t="n">
        <v>0</v>
      </c>
      <c r="I14" s="40" t="n">
        <v>0</v>
      </c>
      <c r="J14" s="40" t="n">
        <v>0</v>
      </c>
      <c r="K14" s="40" t="n">
        <v>0</v>
      </c>
      <c r="L14" s="40" t="n">
        <v>0</v>
      </c>
      <c r="M14" s="40" t="n">
        <v>0</v>
      </c>
      <c r="N14" s="40" t="n">
        <v>0</v>
      </c>
      <c r="O14" s="40" t="n">
        <v>0</v>
      </c>
      <c r="P14" s="40" t="n">
        <v>0</v>
      </c>
      <c r="Q14" s="40" t="n">
        <v>0</v>
      </c>
      <c r="R14" s="40" t="n">
        <v>0</v>
      </c>
      <c r="S14" s="40" t="n">
        <v>0</v>
      </c>
      <c r="T14" s="40" t="n">
        <v>0</v>
      </c>
      <c r="U14" s="40" t="n">
        <v>0</v>
      </c>
      <c r="V14" s="40" t="n">
        <v>0</v>
      </c>
      <c r="W14" s="40" t="n">
        <v>0</v>
      </c>
      <c r="X14" s="40" t="n">
        <v>0</v>
      </c>
      <c r="Y14" s="40" t="n">
        <v>0</v>
      </c>
      <c r="Z14" s="40" t="n">
        <v>0</v>
      </c>
      <c r="AA14" s="40" t="n">
        <v>0</v>
      </c>
      <c r="AB14" s="40" t="n">
        <v>0</v>
      </c>
      <c r="AC14" s="40" t="n">
        <v>0</v>
      </c>
      <c r="AD14" s="40" t="n">
        <v>0</v>
      </c>
      <c r="AE14" s="40" t="n">
        <v>0</v>
      </c>
      <c r="AF14" s="40" t="n">
        <v>0</v>
      </c>
      <c r="AG14" s="40" t="n">
        <v>0</v>
      </c>
      <c r="AH14" s="40" t="n">
        <v>0</v>
      </c>
      <c r="AI14" s="40" t="n">
        <v>0</v>
      </c>
      <c r="AJ14" s="40" t="n">
        <v>0</v>
      </c>
      <c r="AK14" s="40" t="n">
        <v>0</v>
      </c>
      <c r="AL14" s="40" t="n">
        <v>0</v>
      </c>
      <c r="AM14" s="40" t="n">
        <v>0</v>
      </c>
      <c r="AN14" s="40" t="n">
        <v>0</v>
      </c>
      <c r="AO14" s="40" t="n">
        <v>0</v>
      </c>
      <c r="AP14" s="40" t="n">
        <v>0</v>
      </c>
      <c r="AQ14" s="40" t="n">
        <v>0</v>
      </c>
      <c r="AR14" s="40" t="n">
        <v>0</v>
      </c>
      <c r="AS14" s="40" t="n">
        <v>0</v>
      </c>
      <c r="AT14" s="40" t="n">
        <v>0</v>
      </c>
      <c r="AU14" s="40" t="n">
        <v>0</v>
      </c>
      <c r="AV14" s="40" t="n">
        <v>0</v>
      </c>
      <c r="AW14" s="40" t="n">
        <v>0</v>
      </c>
      <c r="AX14" s="40" t="n">
        <v>0</v>
      </c>
      <c r="AY14" s="40" t="n">
        <v>0</v>
      </c>
      <c r="AZ14" s="40" t="n">
        <v>0</v>
      </c>
    </row>
    <row r="15" customFormat="false" ht="15" hidden="false" customHeight="true" outlineLevel="0" collapsed="false">
      <c r="A15" s="13" t="s">
        <v>76</v>
      </c>
      <c r="C15" s="41" t="n">
        <f aca="false">SUM(D15:AZ15)</f>
        <v>1.35565214942216</v>
      </c>
      <c r="D15" s="40" t="n">
        <f aca="false">Inputs!$B$35*(Inputs!$B$195/(Inputs!$B$194+Inputs!$B$195+Inputs!$B$196))*Inputs!$B$5</f>
        <v>0.288076081752209</v>
      </c>
      <c r="E15" s="40" t="n">
        <f aca="false">Inputs!$C$35*(Inputs!$B$195/(Inputs!$B$194+Inputs!$B$195+Inputs!$B$196))*Inputs!$B$5</f>
        <v>0.677826074711079</v>
      </c>
      <c r="F15" s="40" t="n">
        <f aca="false">Inputs!$D$35*(Inputs!$B$195/(Inputs!$B$194+Inputs!$B$195+Inputs!$B$196))*Inputs!$B$5</f>
        <v>0.38974999295887</v>
      </c>
      <c r="G15" s="40" t="n">
        <v>0</v>
      </c>
      <c r="H15" s="40" t="n">
        <v>0</v>
      </c>
      <c r="I15" s="40" t="n">
        <v>0</v>
      </c>
      <c r="J15" s="40" t="n">
        <v>0</v>
      </c>
      <c r="K15" s="40" t="n">
        <v>0</v>
      </c>
      <c r="L15" s="40" t="n">
        <v>0</v>
      </c>
      <c r="M15" s="40" t="n">
        <v>0</v>
      </c>
      <c r="N15" s="40" t="n">
        <v>0</v>
      </c>
      <c r="O15" s="40" t="n">
        <v>0</v>
      </c>
      <c r="P15" s="40" t="n">
        <v>0</v>
      </c>
      <c r="Q15" s="40" t="n">
        <v>0</v>
      </c>
      <c r="R15" s="40" t="n">
        <v>0</v>
      </c>
      <c r="S15" s="40" t="n">
        <v>0</v>
      </c>
      <c r="T15" s="40" t="n">
        <v>0</v>
      </c>
      <c r="U15" s="40" t="n">
        <v>0</v>
      </c>
      <c r="V15" s="40" t="n">
        <v>0</v>
      </c>
      <c r="W15" s="40" t="n">
        <v>0</v>
      </c>
      <c r="X15" s="40" t="n">
        <v>0</v>
      </c>
      <c r="Y15" s="40" t="n">
        <v>0</v>
      </c>
      <c r="Z15" s="40" t="n">
        <v>0</v>
      </c>
      <c r="AA15" s="40" t="n">
        <v>0</v>
      </c>
      <c r="AB15" s="40" t="n">
        <v>0</v>
      </c>
      <c r="AC15" s="40" t="n">
        <v>0</v>
      </c>
      <c r="AD15" s="40" t="n">
        <v>0</v>
      </c>
      <c r="AE15" s="40" t="n">
        <v>0</v>
      </c>
      <c r="AF15" s="40" t="n">
        <v>0</v>
      </c>
      <c r="AG15" s="40" t="n">
        <v>0</v>
      </c>
      <c r="AH15" s="40" t="n">
        <v>0</v>
      </c>
      <c r="AI15" s="40" t="n">
        <v>0</v>
      </c>
      <c r="AJ15" s="40" t="n">
        <v>0</v>
      </c>
      <c r="AK15" s="40" t="n">
        <v>0</v>
      </c>
      <c r="AL15" s="40" t="n">
        <v>0</v>
      </c>
      <c r="AM15" s="40" t="n">
        <v>0</v>
      </c>
      <c r="AN15" s="40" t="n">
        <v>0</v>
      </c>
      <c r="AO15" s="40" t="n">
        <v>0</v>
      </c>
      <c r="AP15" s="40" t="n">
        <v>0</v>
      </c>
      <c r="AQ15" s="40" t="n">
        <v>0</v>
      </c>
      <c r="AR15" s="40" t="n">
        <v>0</v>
      </c>
      <c r="AS15" s="40" t="n">
        <v>0</v>
      </c>
      <c r="AT15" s="40" t="n">
        <v>0</v>
      </c>
      <c r="AU15" s="40" t="n">
        <v>0</v>
      </c>
      <c r="AV15" s="40" t="n">
        <v>0</v>
      </c>
      <c r="AW15" s="40" t="n">
        <v>0</v>
      </c>
      <c r="AX15" s="40" t="n">
        <v>0</v>
      </c>
      <c r="AY15" s="40" t="n">
        <v>0</v>
      </c>
      <c r="AZ15" s="40" t="n">
        <v>0</v>
      </c>
    </row>
    <row r="16" customFormat="false" ht="15" hidden="false" customHeight="true" outlineLevel="0" collapsed="false">
      <c r="A16" s="13" t="s">
        <v>77</v>
      </c>
      <c r="C16" s="41" t="n">
        <f aca="false">SUM(D16:AZ16)</f>
        <v>0.847282593388849</v>
      </c>
      <c r="D16" s="40" t="n">
        <f aca="false">Inputs!$B$36*(Inputs!$B$195/(Inputs!$B$194+Inputs!$B$195+Inputs!$B$196))*Inputs!$B$5</f>
        <v>0.711717378446633</v>
      </c>
      <c r="E16" s="40" t="n">
        <f aca="false">Inputs!$C$36*(Inputs!$B$195/(Inputs!$B$194+Inputs!$B$195+Inputs!$B$196))*Inputs!$B$5</f>
        <v>0.135565214942216</v>
      </c>
      <c r="F16" s="40" t="n">
        <f aca="false">Inputs!$D$36*(Inputs!$B$195/(Inputs!$B$194+Inputs!$B$195+Inputs!$B$196))*Inputs!$B$5</f>
        <v>0</v>
      </c>
      <c r="G16" s="40" t="n">
        <v>0</v>
      </c>
      <c r="H16" s="40" t="n">
        <v>0</v>
      </c>
      <c r="I16" s="40" t="n">
        <v>0</v>
      </c>
      <c r="J16" s="40" t="n">
        <v>0</v>
      </c>
      <c r="K16" s="40" t="n">
        <v>0</v>
      </c>
      <c r="L16" s="40" t="n">
        <v>0</v>
      </c>
      <c r="M16" s="40" t="n">
        <v>0</v>
      </c>
      <c r="N16" s="40" t="n">
        <v>0</v>
      </c>
      <c r="O16" s="40" t="n">
        <v>0</v>
      </c>
      <c r="P16" s="40" t="n">
        <v>0</v>
      </c>
      <c r="Q16" s="40" t="n">
        <v>0</v>
      </c>
      <c r="R16" s="40" t="n">
        <v>0</v>
      </c>
      <c r="S16" s="40" t="n">
        <v>0</v>
      </c>
      <c r="T16" s="40" t="n">
        <v>0</v>
      </c>
      <c r="U16" s="40" t="n">
        <v>0</v>
      </c>
      <c r="V16" s="40" t="n">
        <v>0</v>
      </c>
      <c r="W16" s="40" t="n">
        <v>0</v>
      </c>
      <c r="X16" s="40" t="n">
        <v>0</v>
      </c>
      <c r="Y16" s="40" t="n">
        <v>0</v>
      </c>
      <c r="Z16" s="40" t="n">
        <v>0</v>
      </c>
      <c r="AA16" s="40" t="n">
        <v>0</v>
      </c>
      <c r="AB16" s="40" t="n">
        <v>0</v>
      </c>
      <c r="AC16" s="40" t="n">
        <v>0</v>
      </c>
      <c r="AD16" s="40" t="n">
        <v>0</v>
      </c>
      <c r="AE16" s="40" t="n">
        <v>0</v>
      </c>
      <c r="AF16" s="40" t="n">
        <v>0</v>
      </c>
      <c r="AG16" s="40" t="n">
        <v>0</v>
      </c>
      <c r="AH16" s="40" t="n">
        <v>0</v>
      </c>
      <c r="AI16" s="40" t="n">
        <v>0</v>
      </c>
      <c r="AJ16" s="40" t="n">
        <v>0</v>
      </c>
      <c r="AK16" s="40" t="n">
        <v>0</v>
      </c>
      <c r="AL16" s="40" t="n">
        <v>0</v>
      </c>
      <c r="AM16" s="40" t="n">
        <v>0</v>
      </c>
      <c r="AN16" s="40" t="n">
        <v>0</v>
      </c>
      <c r="AO16" s="40" t="n">
        <v>0</v>
      </c>
      <c r="AP16" s="40" t="n">
        <v>0</v>
      </c>
      <c r="AQ16" s="40" t="n">
        <v>0</v>
      </c>
      <c r="AR16" s="40" t="n">
        <v>0</v>
      </c>
      <c r="AS16" s="40" t="n">
        <v>0</v>
      </c>
      <c r="AT16" s="40" t="n">
        <v>0</v>
      </c>
      <c r="AU16" s="40" t="n">
        <v>0</v>
      </c>
      <c r="AV16" s="40" t="n">
        <v>0</v>
      </c>
      <c r="AW16" s="40" t="n">
        <v>0</v>
      </c>
      <c r="AX16" s="40" t="n">
        <v>0</v>
      </c>
      <c r="AY16" s="40" t="n">
        <v>0</v>
      </c>
      <c r="AZ16" s="40" t="n">
        <v>0</v>
      </c>
    </row>
    <row r="17" customFormat="false" ht="15" hidden="false" customHeight="true" outlineLevel="0" collapsed="false">
      <c r="A17" s="13" t="s">
        <v>78</v>
      </c>
      <c r="C17" s="41" t="n">
        <f aca="false">SUM(D17:AZ17)</f>
        <v>1.18619563074439</v>
      </c>
      <c r="D17" s="40" t="n">
        <f aca="false">Inputs!$B$37*(Inputs!$B$195/(Inputs!$B$194+Inputs!$B$195+Inputs!$B$196))*Inputs!$B$5</f>
        <v>0</v>
      </c>
      <c r="E17" s="40" t="n">
        <f aca="false">Inputs!$C$37*(Inputs!$B$195/(Inputs!$B$194+Inputs!$B$195+Inputs!$B$196))*Inputs!$B$5</f>
        <v>0.135565214942216</v>
      </c>
      <c r="F17" s="40" t="n">
        <f aca="false">Inputs!$D$37*(Inputs!$B$195/(Inputs!$B$194+Inputs!$B$195+Inputs!$B$196))*Inputs!$B$5</f>
        <v>1.05063041580217</v>
      </c>
      <c r="G17" s="40" t="n">
        <v>0</v>
      </c>
      <c r="H17" s="40" t="n">
        <v>0</v>
      </c>
      <c r="I17" s="40" t="n">
        <v>0</v>
      </c>
      <c r="J17" s="40" t="n">
        <v>0</v>
      </c>
      <c r="K17" s="40" t="n">
        <v>0</v>
      </c>
      <c r="L17" s="40" t="n">
        <v>0</v>
      </c>
      <c r="M17" s="40" t="n">
        <v>0</v>
      </c>
      <c r="N17" s="40" t="n">
        <v>0</v>
      </c>
      <c r="O17" s="40" t="n">
        <v>0</v>
      </c>
      <c r="P17" s="40" t="n">
        <v>0</v>
      </c>
      <c r="Q17" s="40" t="n">
        <v>0</v>
      </c>
      <c r="R17" s="40" t="n">
        <v>0</v>
      </c>
      <c r="S17" s="40" t="n">
        <v>0</v>
      </c>
      <c r="T17" s="40" t="n">
        <v>0</v>
      </c>
      <c r="U17" s="40" t="n">
        <v>0</v>
      </c>
      <c r="V17" s="40" t="n">
        <v>0</v>
      </c>
      <c r="W17" s="40" t="n">
        <v>0</v>
      </c>
      <c r="X17" s="40" t="n">
        <v>0</v>
      </c>
      <c r="Y17" s="40" t="n">
        <v>0</v>
      </c>
      <c r="Z17" s="40" t="n">
        <v>0</v>
      </c>
      <c r="AA17" s="40" t="n">
        <v>0</v>
      </c>
      <c r="AB17" s="40" t="n">
        <v>0</v>
      </c>
      <c r="AC17" s="40" t="n">
        <v>0</v>
      </c>
      <c r="AD17" s="40" t="n">
        <v>0</v>
      </c>
      <c r="AE17" s="40" t="n">
        <v>0</v>
      </c>
      <c r="AF17" s="40" t="n">
        <v>0</v>
      </c>
      <c r="AG17" s="40" t="n">
        <v>0</v>
      </c>
      <c r="AH17" s="40" t="n">
        <v>0</v>
      </c>
      <c r="AI17" s="40" t="n">
        <v>0</v>
      </c>
      <c r="AJ17" s="40" t="n">
        <v>0</v>
      </c>
      <c r="AK17" s="40" t="n">
        <v>0</v>
      </c>
      <c r="AL17" s="40" t="n">
        <v>0</v>
      </c>
      <c r="AM17" s="40" t="n">
        <v>0</v>
      </c>
      <c r="AN17" s="40" t="n">
        <v>0</v>
      </c>
      <c r="AO17" s="40" t="n">
        <v>0</v>
      </c>
      <c r="AP17" s="40" t="n">
        <v>0</v>
      </c>
      <c r="AQ17" s="40" t="n">
        <v>0</v>
      </c>
      <c r="AR17" s="40" t="n">
        <v>0</v>
      </c>
      <c r="AS17" s="40" t="n">
        <v>0</v>
      </c>
      <c r="AT17" s="40" t="n">
        <v>0</v>
      </c>
      <c r="AU17" s="40" t="n">
        <v>0</v>
      </c>
      <c r="AV17" s="40" t="n">
        <v>0</v>
      </c>
      <c r="AW17" s="40" t="n">
        <v>0</v>
      </c>
      <c r="AX17" s="40" t="n">
        <v>0</v>
      </c>
      <c r="AY17" s="40" t="n">
        <v>0</v>
      </c>
      <c r="AZ17" s="40" t="n">
        <v>0</v>
      </c>
    </row>
    <row r="18" customFormat="false" ht="15" hidden="false" customHeight="true" outlineLevel="0" collapsed="false">
      <c r="A18" s="13" t="s">
        <v>79</v>
      </c>
      <c r="C18" s="41" t="n">
        <f aca="false">SUM(D18:AZ18)</f>
        <v>0.847282593388849</v>
      </c>
      <c r="D18" s="40" t="n">
        <f aca="false">Inputs!$B$38*(Inputs!$B$195/(Inputs!$B$194+Inputs!$B$195+Inputs!$B$196))*Inputs!$B$5</f>
        <v>0.152510866809993</v>
      </c>
      <c r="E18" s="40" t="n">
        <f aca="false">Inputs!$C$38*(Inputs!$B$195/(Inputs!$B$194+Inputs!$B$195+Inputs!$B$196))*Inputs!$B$5</f>
        <v>0.372804341091094</v>
      </c>
      <c r="F18" s="40" t="n">
        <f aca="false">Inputs!$D$38*(Inputs!$B$195/(Inputs!$B$194+Inputs!$B$195+Inputs!$B$196))*Inputs!$B$5</f>
        <v>0.321967385487763</v>
      </c>
      <c r="G18" s="40" t="n">
        <v>0</v>
      </c>
      <c r="H18" s="40" t="n">
        <v>0</v>
      </c>
      <c r="I18" s="40" t="n">
        <v>0</v>
      </c>
      <c r="J18" s="40" t="n">
        <v>0</v>
      </c>
      <c r="K18" s="40" t="n">
        <v>0</v>
      </c>
      <c r="L18" s="40" t="n">
        <v>0</v>
      </c>
      <c r="M18" s="40" t="n">
        <v>0</v>
      </c>
      <c r="N18" s="40" t="n">
        <v>0</v>
      </c>
      <c r="O18" s="40" t="n">
        <v>0</v>
      </c>
      <c r="P18" s="40" t="n">
        <v>0</v>
      </c>
      <c r="Q18" s="40" t="n">
        <v>0</v>
      </c>
      <c r="R18" s="40" t="n">
        <v>0</v>
      </c>
      <c r="S18" s="40" t="n">
        <v>0</v>
      </c>
      <c r="T18" s="40" t="n">
        <v>0</v>
      </c>
      <c r="U18" s="40" t="n">
        <v>0</v>
      </c>
      <c r="V18" s="40" t="n">
        <v>0</v>
      </c>
      <c r="W18" s="40" t="n">
        <v>0</v>
      </c>
      <c r="X18" s="40" t="n">
        <v>0</v>
      </c>
      <c r="Y18" s="40" t="n">
        <v>0</v>
      </c>
      <c r="Z18" s="40" t="n">
        <v>0</v>
      </c>
      <c r="AA18" s="40" t="n">
        <v>0</v>
      </c>
      <c r="AB18" s="40" t="n">
        <v>0</v>
      </c>
      <c r="AC18" s="40" t="n">
        <v>0</v>
      </c>
      <c r="AD18" s="40" t="n">
        <v>0</v>
      </c>
      <c r="AE18" s="40" t="n">
        <v>0</v>
      </c>
      <c r="AF18" s="40" t="n">
        <v>0</v>
      </c>
      <c r="AG18" s="40" t="n">
        <v>0</v>
      </c>
      <c r="AH18" s="40" t="n">
        <v>0</v>
      </c>
      <c r="AI18" s="40" t="n">
        <v>0</v>
      </c>
      <c r="AJ18" s="40" t="n">
        <v>0</v>
      </c>
      <c r="AK18" s="40" t="n">
        <v>0</v>
      </c>
      <c r="AL18" s="40" t="n">
        <v>0</v>
      </c>
      <c r="AM18" s="40" t="n">
        <v>0</v>
      </c>
      <c r="AN18" s="40" t="n">
        <v>0</v>
      </c>
      <c r="AO18" s="40" t="n">
        <v>0</v>
      </c>
      <c r="AP18" s="40" t="n">
        <v>0</v>
      </c>
      <c r="AQ18" s="40" t="n">
        <v>0</v>
      </c>
      <c r="AR18" s="40" t="n">
        <v>0</v>
      </c>
      <c r="AS18" s="40" t="n">
        <v>0</v>
      </c>
      <c r="AT18" s="40" t="n">
        <v>0</v>
      </c>
      <c r="AU18" s="40" t="n">
        <v>0</v>
      </c>
      <c r="AV18" s="40" t="n">
        <v>0</v>
      </c>
      <c r="AW18" s="40" t="n">
        <v>0</v>
      </c>
      <c r="AX18" s="40" t="n">
        <v>0</v>
      </c>
      <c r="AY18" s="40" t="n">
        <v>0</v>
      </c>
      <c r="AZ18" s="40" t="n">
        <v>0</v>
      </c>
    </row>
    <row r="19" customFormat="false" ht="15" hidden="false" customHeight="true" outlineLevel="0" collapsed="false">
      <c r="A19" s="6" t="s">
        <v>588</v>
      </c>
      <c r="C19" s="44" t="n">
        <f aca="false">SUM(D19:AZ19)</f>
        <v>109.599553122976</v>
      </c>
      <c r="D19" s="44" t="n">
        <f aca="false">SUM(D6:D13)</f>
        <v>3.71308684998639</v>
      </c>
      <c r="E19" s="44" t="n">
        <f aca="false">SUM(E6:E13)</f>
        <v>52.2923431437235</v>
      </c>
      <c r="F19" s="44" t="n">
        <f aca="false">SUM(F6:F13)</f>
        <v>53.5941231292658</v>
      </c>
      <c r="G19" s="44" t="n">
        <f aca="false">SUM(G6:G13)</f>
        <v>0</v>
      </c>
      <c r="H19" s="44" t="n">
        <f aca="false">SUM(H6:H13)</f>
        <v>0</v>
      </c>
      <c r="I19" s="44" t="n">
        <f aca="false">SUM(I6:I13)</f>
        <v>0</v>
      </c>
      <c r="J19" s="44" t="n">
        <f aca="false">SUM(J6:J13)</f>
        <v>0</v>
      </c>
      <c r="K19" s="44" t="n">
        <f aca="false">SUM(K6:K13)</f>
        <v>0</v>
      </c>
      <c r="L19" s="44" t="n">
        <f aca="false">SUM(L6:L13)</f>
        <v>0</v>
      </c>
      <c r="M19" s="44" t="n">
        <f aca="false">SUM(M6:M13)</f>
        <v>0</v>
      </c>
      <c r="N19" s="44" t="n">
        <f aca="false">SUM(N6:N13)</f>
        <v>0</v>
      </c>
      <c r="O19" s="44" t="n">
        <f aca="false">SUM(O6:O13)</f>
        <v>0</v>
      </c>
      <c r="P19" s="44" t="n">
        <f aca="false">SUM(P6:P13)</f>
        <v>0</v>
      </c>
      <c r="Q19" s="44" t="n">
        <f aca="false">SUM(Q6:Q13)</f>
        <v>0</v>
      </c>
      <c r="R19" s="44" t="n">
        <f aca="false">SUM(R6:R13)</f>
        <v>0</v>
      </c>
      <c r="S19" s="44" t="n">
        <f aca="false">SUM(S6:S13)</f>
        <v>0</v>
      </c>
      <c r="T19" s="44" t="n">
        <f aca="false">SUM(T6:T13)</f>
        <v>0</v>
      </c>
      <c r="U19" s="44" t="n">
        <f aca="false">SUM(U6:U13)</f>
        <v>0</v>
      </c>
      <c r="V19" s="44" t="n">
        <f aca="false">SUM(V6:V13)</f>
        <v>0</v>
      </c>
      <c r="W19" s="44" t="n">
        <f aca="false">SUM(W6:W13)</f>
        <v>0</v>
      </c>
      <c r="X19" s="44" t="n">
        <f aca="false">SUM(X6:X13)</f>
        <v>0</v>
      </c>
      <c r="Y19" s="44" t="n">
        <f aca="false">SUM(Y6:Y13)</f>
        <v>0</v>
      </c>
      <c r="Z19" s="44" t="n">
        <f aca="false">SUM(Z6:Z13)</f>
        <v>0</v>
      </c>
      <c r="AA19" s="44" t="n">
        <f aca="false">SUM(AA6:AA13)</f>
        <v>0</v>
      </c>
      <c r="AB19" s="44" t="n">
        <f aca="false">SUM(AB6:AB13)</f>
        <v>0</v>
      </c>
      <c r="AC19" s="44" t="n">
        <f aca="false">SUM(AC6:AC13)</f>
        <v>0</v>
      </c>
      <c r="AD19" s="44" t="n">
        <f aca="false">SUM(AD6:AD13)</f>
        <v>0</v>
      </c>
      <c r="AE19" s="44" t="n">
        <f aca="false">SUM(AE6:AE13)</f>
        <v>0</v>
      </c>
      <c r="AF19" s="44" t="n">
        <f aca="false">SUM(AF6:AF13)</f>
        <v>0</v>
      </c>
      <c r="AG19" s="44" t="n">
        <f aca="false">SUM(AG6:AG13)</f>
        <v>0</v>
      </c>
      <c r="AH19" s="44" t="n">
        <f aca="false">SUM(AH6:AH13)</f>
        <v>0</v>
      </c>
      <c r="AI19" s="44" t="n">
        <f aca="false">SUM(AI6:AI13)</f>
        <v>0</v>
      </c>
      <c r="AJ19" s="44" t="n">
        <f aca="false">SUM(AJ6:AJ13)</f>
        <v>0</v>
      </c>
      <c r="AK19" s="44" t="n">
        <f aca="false">SUM(AK6:AK13)</f>
        <v>0</v>
      </c>
      <c r="AL19" s="44" t="n">
        <f aca="false">SUM(AL6:AL13)</f>
        <v>0</v>
      </c>
      <c r="AM19" s="44" t="n">
        <f aca="false">SUM(AM6:AM13)</f>
        <v>0</v>
      </c>
      <c r="AN19" s="44" t="n">
        <f aca="false">SUM(AN6:AN13)</f>
        <v>0</v>
      </c>
      <c r="AO19" s="44" t="n">
        <f aca="false">SUM(AO6:AO13)</f>
        <v>0</v>
      </c>
      <c r="AP19" s="44" t="n">
        <f aca="false">SUM(AP6:AP13)</f>
        <v>0</v>
      </c>
      <c r="AQ19" s="44" t="n">
        <f aca="false">SUM(AQ6:AQ13)</f>
        <v>0</v>
      </c>
      <c r="AR19" s="44" t="n">
        <f aca="false">SUM(AR6:AR13)</f>
        <v>0</v>
      </c>
      <c r="AS19" s="44" t="n">
        <f aca="false">SUM(AS6:AS13)</f>
        <v>0</v>
      </c>
      <c r="AT19" s="44" t="n">
        <f aca="false">SUM(AT6:AT13)</f>
        <v>0</v>
      </c>
      <c r="AU19" s="44" t="n">
        <f aca="false">SUM(AU6:AU13)</f>
        <v>0</v>
      </c>
      <c r="AV19" s="44" t="n">
        <f aca="false">SUM(AV6:AV13)</f>
        <v>0</v>
      </c>
      <c r="AW19" s="44" t="n">
        <f aca="false">SUM(AW6:AW13)</f>
        <v>0</v>
      </c>
      <c r="AX19" s="44" t="n">
        <f aca="false">SUM(AX6:AX13)</f>
        <v>0</v>
      </c>
      <c r="AY19" s="44" t="n">
        <f aca="false">SUM(AY6:AY13)</f>
        <v>0</v>
      </c>
      <c r="AZ19" s="44" t="n">
        <f aca="false">SUM(AZ6:AZ13)</f>
        <v>0</v>
      </c>
    </row>
    <row r="20" customFormat="false" ht="15" hidden="false" customHeight="true" outlineLevel="0" collapsed="false">
      <c r="A20" s="6" t="s">
        <v>589</v>
      </c>
      <c r="C20" s="21" t="n">
        <f aca="false">SUM(D20:AZ20)</f>
        <v>6.77826074711079</v>
      </c>
      <c r="D20" s="21" t="n">
        <f aca="false">SUM(D14:D18)</f>
        <v>3.15189124740652</v>
      </c>
      <c r="E20" s="21" t="n">
        <f aca="false">SUM(E14:E18)</f>
        <v>1.86402170545547</v>
      </c>
      <c r="F20" s="21" t="n">
        <f aca="false">SUM(F14:F18)</f>
        <v>1.76234779424881</v>
      </c>
      <c r="G20" s="21" t="n">
        <f aca="false">SUM(G14:G18)</f>
        <v>0</v>
      </c>
      <c r="H20" s="21" t="n">
        <f aca="false">SUM(H14:H18)</f>
        <v>0</v>
      </c>
      <c r="I20" s="21" t="n">
        <f aca="false">SUM(I14:I18)</f>
        <v>0</v>
      </c>
      <c r="J20" s="21" t="n">
        <f aca="false">SUM(J14:J18)</f>
        <v>0</v>
      </c>
      <c r="K20" s="21" t="n">
        <f aca="false">SUM(K14:K18)</f>
        <v>0</v>
      </c>
      <c r="L20" s="21" t="n">
        <f aca="false">SUM(L14:L18)</f>
        <v>0</v>
      </c>
      <c r="M20" s="21" t="n">
        <f aca="false">SUM(M14:M18)</f>
        <v>0</v>
      </c>
      <c r="N20" s="21" t="n">
        <f aca="false">SUM(N14:N18)</f>
        <v>0</v>
      </c>
      <c r="O20" s="21" t="n">
        <f aca="false">SUM(O14:O18)</f>
        <v>0</v>
      </c>
      <c r="P20" s="21" t="n">
        <f aca="false">SUM(P14:P18)</f>
        <v>0</v>
      </c>
      <c r="Q20" s="21" t="n">
        <f aca="false">SUM(Q14:Q18)</f>
        <v>0</v>
      </c>
      <c r="R20" s="21" t="n">
        <f aca="false">SUM(R14:R18)</f>
        <v>0</v>
      </c>
      <c r="S20" s="21" t="n">
        <f aca="false">SUM(S14:S18)</f>
        <v>0</v>
      </c>
      <c r="T20" s="21" t="n">
        <f aca="false">SUM(T14:T18)</f>
        <v>0</v>
      </c>
      <c r="U20" s="21" t="n">
        <f aca="false">SUM(U14:U18)</f>
        <v>0</v>
      </c>
      <c r="V20" s="21" t="n">
        <f aca="false">SUM(V14:V18)</f>
        <v>0</v>
      </c>
      <c r="W20" s="21" t="n">
        <f aca="false">SUM(W14:W18)</f>
        <v>0</v>
      </c>
      <c r="X20" s="21" t="n">
        <f aca="false">SUM(X14:X18)</f>
        <v>0</v>
      </c>
      <c r="Y20" s="21" t="n">
        <f aca="false">SUM(Y14:Y18)</f>
        <v>0</v>
      </c>
      <c r="Z20" s="21" t="n">
        <f aca="false">SUM(Z14:Z18)</f>
        <v>0</v>
      </c>
      <c r="AA20" s="21" t="n">
        <f aca="false">SUM(AA14:AA18)</f>
        <v>0</v>
      </c>
      <c r="AB20" s="21" t="n">
        <f aca="false">SUM(AB14:AB18)</f>
        <v>0</v>
      </c>
      <c r="AC20" s="21" t="n">
        <f aca="false">SUM(AC14:AC18)</f>
        <v>0</v>
      </c>
      <c r="AD20" s="21" t="n">
        <f aca="false">SUM(AD14:AD18)</f>
        <v>0</v>
      </c>
      <c r="AE20" s="21" t="n">
        <f aca="false">SUM(AE14:AE18)</f>
        <v>0</v>
      </c>
      <c r="AF20" s="21" t="n">
        <f aca="false">SUM(AF14:AF18)</f>
        <v>0</v>
      </c>
      <c r="AG20" s="21" t="n">
        <f aca="false">SUM(AG14:AG18)</f>
        <v>0</v>
      </c>
      <c r="AH20" s="21" t="n">
        <f aca="false">SUM(AH14:AH18)</f>
        <v>0</v>
      </c>
      <c r="AI20" s="21" t="n">
        <f aca="false">SUM(AI14:AI18)</f>
        <v>0</v>
      </c>
      <c r="AJ20" s="21" t="n">
        <f aca="false">SUM(AJ14:AJ18)</f>
        <v>0</v>
      </c>
      <c r="AK20" s="21" t="n">
        <f aca="false">SUM(AK14:AK18)</f>
        <v>0</v>
      </c>
      <c r="AL20" s="21" t="n">
        <f aca="false">SUM(AL14:AL18)</f>
        <v>0</v>
      </c>
      <c r="AM20" s="21" t="n">
        <f aca="false">SUM(AM14:AM18)</f>
        <v>0</v>
      </c>
      <c r="AN20" s="21" t="n">
        <f aca="false">SUM(AN14:AN18)</f>
        <v>0</v>
      </c>
      <c r="AO20" s="21" t="n">
        <f aca="false">SUM(AO14:AO18)</f>
        <v>0</v>
      </c>
      <c r="AP20" s="21" t="n">
        <f aca="false">SUM(AP14:AP18)</f>
        <v>0</v>
      </c>
      <c r="AQ20" s="21" t="n">
        <f aca="false">SUM(AQ14:AQ18)</f>
        <v>0</v>
      </c>
      <c r="AR20" s="21" t="n">
        <f aca="false">SUM(AR14:AR18)</f>
        <v>0</v>
      </c>
      <c r="AS20" s="21" t="n">
        <f aca="false">SUM(AS14:AS18)</f>
        <v>0</v>
      </c>
      <c r="AT20" s="21" t="n">
        <f aca="false">SUM(AT14:AT18)</f>
        <v>0</v>
      </c>
      <c r="AU20" s="21" t="n">
        <f aca="false">SUM(AU14:AU18)</f>
        <v>0</v>
      </c>
      <c r="AV20" s="21" t="n">
        <f aca="false">SUM(AV14:AV18)</f>
        <v>0</v>
      </c>
      <c r="AW20" s="21" t="n">
        <f aca="false">SUM(AW14:AW18)</f>
        <v>0</v>
      </c>
      <c r="AX20" s="21" t="n">
        <f aca="false">SUM(AX14:AX18)</f>
        <v>0</v>
      </c>
      <c r="AY20" s="21" t="n">
        <f aca="false">SUM(AY14:AY18)</f>
        <v>0</v>
      </c>
      <c r="AZ20" s="21" t="n">
        <f aca="false">SUM(AZ14:AZ18)</f>
        <v>0</v>
      </c>
    </row>
    <row r="21" customFormat="false" ht="15" hidden="false" customHeight="true" outlineLevel="0" collapsed="false">
      <c r="A21" s="6" t="s">
        <v>590</v>
      </c>
      <c r="C21" s="21" t="n">
        <f aca="false">SUM(D21:AZ21)</f>
        <v>18.2</v>
      </c>
      <c r="D21" s="40" t="n">
        <v>0</v>
      </c>
      <c r="E21" s="40" t="n">
        <f aca="false">Inputs!$B$42*Inputs!$B$43*Inputs!$B$44</f>
        <v>2.4752</v>
      </c>
      <c r="F21" s="40" t="n">
        <f aca="false">Inputs!$B$42*Inputs!$B$43*(1-Inputs!$B$44)</f>
        <v>15.7248</v>
      </c>
      <c r="G21" s="40" t="n">
        <v>0</v>
      </c>
      <c r="H21" s="40" t="n">
        <v>0</v>
      </c>
      <c r="I21" s="40" t="n">
        <v>0</v>
      </c>
      <c r="J21" s="40" t="n">
        <v>0</v>
      </c>
      <c r="K21" s="40" t="n">
        <v>0</v>
      </c>
      <c r="L21" s="40" t="n">
        <v>0</v>
      </c>
      <c r="M21" s="40" t="n">
        <v>0</v>
      </c>
      <c r="N21" s="40" t="n">
        <v>0</v>
      </c>
      <c r="O21" s="40" t="n">
        <v>0</v>
      </c>
      <c r="P21" s="40" t="n">
        <v>0</v>
      </c>
      <c r="Q21" s="40" t="n">
        <v>0</v>
      </c>
      <c r="R21" s="40" t="n">
        <v>0</v>
      </c>
      <c r="S21" s="40" t="n">
        <v>0</v>
      </c>
      <c r="T21" s="40" t="n">
        <v>0</v>
      </c>
      <c r="U21" s="40" t="n">
        <v>0</v>
      </c>
      <c r="V21" s="40" t="n">
        <v>0</v>
      </c>
      <c r="W21" s="40" t="n">
        <v>0</v>
      </c>
      <c r="X21" s="40" t="n">
        <v>0</v>
      </c>
      <c r="Y21" s="40" t="n">
        <v>0</v>
      </c>
      <c r="Z21" s="40" t="n">
        <v>0</v>
      </c>
      <c r="AA21" s="40" t="n">
        <v>0</v>
      </c>
      <c r="AB21" s="40" t="n">
        <v>0</v>
      </c>
      <c r="AC21" s="40" t="n">
        <v>0</v>
      </c>
      <c r="AD21" s="40" t="n">
        <v>0</v>
      </c>
      <c r="AE21" s="40" t="n">
        <v>0</v>
      </c>
      <c r="AF21" s="40" t="n">
        <v>0</v>
      </c>
      <c r="AG21" s="40" t="n">
        <v>0</v>
      </c>
      <c r="AH21" s="40" t="n">
        <v>0</v>
      </c>
      <c r="AI21" s="40" t="n">
        <v>0</v>
      </c>
      <c r="AJ21" s="40" t="n">
        <v>0</v>
      </c>
      <c r="AK21" s="40" t="n">
        <v>0</v>
      </c>
      <c r="AL21" s="40" t="n">
        <v>0</v>
      </c>
      <c r="AM21" s="40" t="n">
        <v>0</v>
      </c>
      <c r="AN21" s="40" t="n">
        <v>0</v>
      </c>
      <c r="AO21" s="40" t="n">
        <v>0</v>
      </c>
      <c r="AP21" s="40" t="n">
        <v>0</v>
      </c>
      <c r="AQ21" s="40" t="n">
        <v>0</v>
      </c>
      <c r="AR21" s="40" t="n">
        <v>0</v>
      </c>
      <c r="AS21" s="40" t="n">
        <v>0</v>
      </c>
      <c r="AT21" s="40" t="n">
        <v>0</v>
      </c>
      <c r="AU21" s="40" t="n">
        <v>0</v>
      </c>
      <c r="AV21" s="40" t="n">
        <v>0</v>
      </c>
      <c r="AW21" s="40" t="n">
        <v>0</v>
      </c>
      <c r="AX21" s="40" t="n">
        <v>0</v>
      </c>
      <c r="AY21" s="40" t="n">
        <v>0</v>
      </c>
      <c r="AZ21" s="40" t="n">
        <v>0</v>
      </c>
    </row>
    <row r="22" customFormat="false" ht="15" hidden="false" customHeight="true" outlineLevel="0" collapsed="false">
      <c r="A22" s="6" t="s">
        <v>591</v>
      </c>
      <c r="C22" s="44" t="n">
        <f aca="false">SUM(D22:AZ22)</f>
        <v>134.577813870086</v>
      </c>
      <c r="D22" s="44" t="n">
        <f aca="false">D19+D20+D21</f>
        <v>6.86497809739291</v>
      </c>
      <c r="E22" s="44" t="n">
        <f aca="false">E19+E20+E21</f>
        <v>56.631564849179</v>
      </c>
      <c r="F22" s="44" t="n">
        <f aca="false">F19+F20+F21</f>
        <v>71.0812709235146</v>
      </c>
      <c r="G22" s="44" t="n">
        <f aca="false">G19+G20+G21</f>
        <v>0</v>
      </c>
      <c r="H22" s="44" t="n">
        <f aca="false">H19+H20+H21</f>
        <v>0</v>
      </c>
      <c r="I22" s="44" t="n">
        <f aca="false">I19+I20+I21</f>
        <v>0</v>
      </c>
      <c r="J22" s="44" t="n">
        <f aca="false">J19+J20+J21</f>
        <v>0</v>
      </c>
      <c r="K22" s="44" t="n">
        <f aca="false">K19+K20+K21</f>
        <v>0</v>
      </c>
      <c r="L22" s="44" t="n">
        <f aca="false">L19+L20+L21</f>
        <v>0</v>
      </c>
      <c r="M22" s="44" t="n">
        <f aca="false">M19+M20+M21</f>
        <v>0</v>
      </c>
      <c r="N22" s="44" t="n">
        <f aca="false">N19+N20+N21</f>
        <v>0</v>
      </c>
      <c r="O22" s="44" t="n">
        <f aca="false">O19+O20+O21</f>
        <v>0</v>
      </c>
      <c r="P22" s="44" t="n">
        <f aca="false">P19+P20+P21</f>
        <v>0</v>
      </c>
      <c r="Q22" s="44" t="n">
        <f aca="false">Q19+Q20+Q21</f>
        <v>0</v>
      </c>
      <c r="R22" s="44" t="n">
        <f aca="false">R19+R20+R21</f>
        <v>0</v>
      </c>
      <c r="S22" s="44" t="n">
        <f aca="false">S19+S20+S21</f>
        <v>0</v>
      </c>
      <c r="T22" s="44" t="n">
        <f aca="false">T19+T20+T21</f>
        <v>0</v>
      </c>
      <c r="U22" s="44" t="n">
        <f aca="false">U19+U20+U21</f>
        <v>0</v>
      </c>
      <c r="V22" s="44" t="n">
        <f aca="false">V19+V20+V21</f>
        <v>0</v>
      </c>
      <c r="W22" s="44" t="n">
        <f aca="false">W19+W20+W21</f>
        <v>0</v>
      </c>
      <c r="X22" s="44" t="n">
        <f aca="false">X19+X20+X21</f>
        <v>0</v>
      </c>
      <c r="Y22" s="44" t="n">
        <f aca="false">Y19+Y20+Y21</f>
        <v>0</v>
      </c>
      <c r="Z22" s="44" t="n">
        <f aca="false">Z19+Z20+Z21</f>
        <v>0</v>
      </c>
      <c r="AA22" s="44" t="n">
        <f aca="false">AA19+AA20+AA21</f>
        <v>0</v>
      </c>
      <c r="AB22" s="44" t="n">
        <f aca="false">AB19+AB20+AB21</f>
        <v>0</v>
      </c>
      <c r="AC22" s="44" t="n">
        <f aca="false">AC19+AC20+AC21</f>
        <v>0</v>
      </c>
      <c r="AD22" s="44" t="n">
        <f aca="false">AD19+AD20+AD21</f>
        <v>0</v>
      </c>
      <c r="AE22" s="44" t="n">
        <f aca="false">AE19+AE20+AE21</f>
        <v>0</v>
      </c>
      <c r="AF22" s="44" t="n">
        <f aca="false">AF19+AF20+AF21</f>
        <v>0</v>
      </c>
      <c r="AG22" s="44" t="n">
        <f aca="false">AG19+AG20+AG21</f>
        <v>0</v>
      </c>
      <c r="AH22" s="44" t="n">
        <f aca="false">AH19+AH20+AH21</f>
        <v>0</v>
      </c>
      <c r="AI22" s="44" t="n">
        <f aca="false">AI19+AI20+AI21</f>
        <v>0</v>
      </c>
      <c r="AJ22" s="44" t="n">
        <f aca="false">AJ19+AJ20+AJ21</f>
        <v>0</v>
      </c>
      <c r="AK22" s="44" t="n">
        <f aca="false">AK19+AK20+AK21</f>
        <v>0</v>
      </c>
      <c r="AL22" s="44" t="n">
        <f aca="false">AL19+AL20+AL21</f>
        <v>0</v>
      </c>
      <c r="AM22" s="44" t="n">
        <f aca="false">AM19+AM20+AM21</f>
        <v>0</v>
      </c>
      <c r="AN22" s="44" t="n">
        <f aca="false">AN19+AN20+AN21</f>
        <v>0</v>
      </c>
      <c r="AO22" s="44" t="n">
        <f aca="false">AO19+AO20+AO21</f>
        <v>0</v>
      </c>
      <c r="AP22" s="44" t="n">
        <f aca="false">AP19+AP20+AP21</f>
        <v>0</v>
      </c>
      <c r="AQ22" s="44" t="n">
        <f aca="false">AQ19+AQ20+AQ21</f>
        <v>0</v>
      </c>
      <c r="AR22" s="44" t="n">
        <f aca="false">AR19+AR20+AR21</f>
        <v>0</v>
      </c>
      <c r="AS22" s="44" t="n">
        <f aca="false">AS19+AS20+AS21</f>
        <v>0</v>
      </c>
      <c r="AT22" s="44" t="n">
        <f aca="false">AT19+AT20+AT21</f>
        <v>0</v>
      </c>
      <c r="AU22" s="44" t="n">
        <f aca="false">AU19+AU20+AU21</f>
        <v>0</v>
      </c>
      <c r="AV22" s="44" t="n">
        <f aca="false">AV19+AV20+AV21</f>
        <v>0</v>
      </c>
      <c r="AW22" s="44" t="n">
        <f aca="false">AW19+AW20+AW21</f>
        <v>0</v>
      </c>
      <c r="AX22" s="44" t="n">
        <f aca="false">AX19+AX20+AX21</f>
        <v>0</v>
      </c>
      <c r="AY22" s="44" t="n">
        <f aca="false">AY19+AY20+AY21</f>
        <v>0</v>
      </c>
      <c r="AZ22" s="44" t="n">
        <f aca="false">AZ19+AZ20+AZ21</f>
        <v>0</v>
      </c>
    </row>
    <row r="24" customFormat="false" ht="15" hidden="false" customHeight="true" outlineLevel="0" collapsed="false">
      <c r="A24" s="11" t="s">
        <v>592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</row>
    <row r="25" customFormat="false" ht="15" hidden="false" customHeight="true" outlineLevel="0" collapsed="false">
      <c r="A25" s="13" t="s">
        <v>620</v>
      </c>
      <c r="D25" s="41" t="n">
        <f aca="false">IF((2026-Inputs!$B$9)&lt;2028,0,IF((2026-Inputs!$B$9)&gt;2040,Inputs!$B$86*(1+Inputs!$B$87)^((2026-Inputs!$B$9)-2040),_xlfn.IFS((2026-Inputs!$B$9)=2028,Inputs!$B$74,(2026-Inputs!$B$9)=2029,Inputs!$B$75,(2026-Inputs!$B$9)=2030,Inputs!$B$76,(2026-Inputs!$B$9)=2031,Inputs!$B$77,(2026-Inputs!$B$9)=2032,Inputs!$B$78,(2026-Inputs!$B$9)=2033,Inputs!$B$79,(2026-Inputs!$B$9)=2034,Inputs!$B$80,(2026-Inputs!$B$9)=2035,Inputs!$B$81,(2026-Inputs!$B$9)=2036,Inputs!$B$82,(2026-Inputs!$B$9)=2037,Inputs!$B$83,(2026-Inputs!$B$9)=2038,Inputs!$B$84,(2026-Inputs!$B$9)=2039,Inputs!$B$85,(2026-Inputs!$B$9)=2040,Inputs!$B$86)))</f>
        <v>0</v>
      </c>
      <c r="E25" s="41" t="n">
        <f aca="false">IF((2027-Inputs!$B$9)&lt;2028,0,IF((2027-Inputs!$B$9)&gt;2040,Inputs!$B$86*(1+Inputs!$B$87)^((2027-Inputs!$B$9)-2040),_xlfn.IFS((2027-Inputs!$B$9)=2028,Inputs!$B$74,(2027-Inputs!$B$9)=2029,Inputs!$B$75,(2027-Inputs!$B$9)=2030,Inputs!$B$76,(2027-Inputs!$B$9)=2031,Inputs!$B$77,(2027-Inputs!$B$9)=2032,Inputs!$B$78,(2027-Inputs!$B$9)=2033,Inputs!$B$79,(2027-Inputs!$B$9)=2034,Inputs!$B$80,(2027-Inputs!$B$9)=2035,Inputs!$B$81,(2027-Inputs!$B$9)=2036,Inputs!$B$82,(2027-Inputs!$B$9)=2037,Inputs!$B$83,(2027-Inputs!$B$9)=2038,Inputs!$B$84,(2027-Inputs!$B$9)=2039,Inputs!$B$85,(2027-Inputs!$B$9)=2040,Inputs!$B$86)))</f>
        <v>0</v>
      </c>
      <c r="F25" s="41" t="n">
        <f aca="false">IF((2028-Inputs!$B$9)&lt;2028,0,IF((2028-Inputs!$B$9)&gt;2040,Inputs!$B$86*(1+Inputs!$B$87)^((2028-Inputs!$B$9)-2040),_xlfn.IFS((2028-Inputs!$B$9)=2028,Inputs!$B$74,(2028-Inputs!$B$9)=2029,Inputs!$B$75,(2028-Inputs!$B$9)=2030,Inputs!$B$76,(2028-Inputs!$B$9)=2031,Inputs!$B$77,(2028-Inputs!$B$9)=2032,Inputs!$B$78,(2028-Inputs!$B$9)=2033,Inputs!$B$79,(2028-Inputs!$B$9)=2034,Inputs!$B$80,(2028-Inputs!$B$9)=2035,Inputs!$B$81,(2028-Inputs!$B$9)=2036,Inputs!$B$82,(2028-Inputs!$B$9)=2037,Inputs!$B$83,(2028-Inputs!$B$9)=2038,Inputs!$B$84,(2028-Inputs!$B$9)=2039,Inputs!$B$85,(2028-Inputs!$B$9)=2040,Inputs!$B$86)))</f>
        <v>78.93</v>
      </c>
      <c r="G25" s="41" t="n">
        <f aca="false">IF((2029-Inputs!$B$9)&lt;2028,0,IF((2029-Inputs!$B$9)&gt;2040,Inputs!$B$86*(1+Inputs!$B$87)^((2029-Inputs!$B$9)-2040),_xlfn.IFS((2029-Inputs!$B$9)=2028,Inputs!$B$74,(2029-Inputs!$B$9)=2029,Inputs!$B$75,(2029-Inputs!$B$9)=2030,Inputs!$B$76,(2029-Inputs!$B$9)=2031,Inputs!$B$77,(2029-Inputs!$B$9)=2032,Inputs!$B$78,(2029-Inputs!$B$9)=2033,Inputs!$B$79,(2029-Inputs!$B$9)=2034,Inputs!$B$80,(2029-Inputs!$B$9)=2035,Inputs!$B$81,(2029-Inputs!$B$9)=2036,Inputs!$B$82,(2029-Inputs!$B$9)=2037,Inputs!$B$83,(2029-Inputs!$B$9)=2038,Inputs!$B$84,(2029-Inputs!$B$9)=2039,Inputs!$B$85,(2029-Inputs!$B$9)=2040,Inputs!$B$86)))</f>
        <v>86.54</v>
      </c>
      <c r="H25" s="41" t="n">
        <f aca="false">IF((2030-Inputs!$B$9)&lt;2028,0,IF((2030-Inputs!$B$9)&gt;2040,Inputs!$B$86*(1+Inputs!$B$87)^((2030-Inputs!$B$9)-2040),_xlfn.IFS((2030-Inputs!$B$9)=2028,Inputs!$B$74,(2030-Inputs!$B$9)=2029,Inputs!$B$75,(2030-Inputs!$B$9)=2030,Inputs!$B$76,(2030-Inputs!$B$9)=2031,Inputs!$B$77,(2030-Inputs!$B$9)=2032,Inputs!$B$78,(2030-Inputs!$B$9)=2033,Inputs!$B$79,(2030-Inputs!$B$9)=2034,Inputs!$B$80,(2030-Inputs!$B$9)=2035,Inputs!$B$81,(2030-Inputs!$B$9)=2036,Inputs!$B$82,(2030-Inputs!$B$9)=2037,Inputs!$B$83,(2030-Inputs!$B$9)=2038,Inputs!$B$84,(2030-Inputs!$B$9)=2039,Inputs!$B$85,(2030-Inputs!$B$9)=2040,Inputs!$B$86)))</f>
        <v>90.42</v>
      </c>
      <c r="I25" s="41" t="n">
        <f aca="false">IF((2031-Inputs!$B$9)&lt;2028,0,IF((2031-Inputs!$B$9)&gt;2040,Inputs!$B$86*(1+Inputs!$B$87)^((2031-Inputs!$B$9)-2040),_xlfn.IFS((2031-Inputs!$B$9)=2028,Inputs!$B$74,(2031-Inputs!$B$9)=2029,Inputs!$B$75,(2031-Inputs!$B$9)=2030,Inputs!$B$76,(2031-Inputs!$B$9)=2031,Inputs!$B$77,(2031-Inputs!$B$9)=2032,Inputs!$B$78,(2031-Inputs!$B$9)=2033,Inputs!$B$79,(2031-Inputs!$B$9)=2034,Inputs!$B$80,(2031-Inputs!$B$9)=2035,Inputs!$B$81,(2031-Inputs!$B$9)=2036,Inputs!$B$82,(2031-Inputs!$B$9)=2037,Inputs!$B$83,(2031-Inputs!$B$9)=2038,Inputs!$B$84,(2031-Inputs!$B$9)=2039,Inputs!$B$85,(2031-Inputs!$B$9)=2040,Inputs!$B$86)))</f>
        <v>94.34</v>
      </c>
      <c r="J25" s="41" t="n">
        <f aca="false">IF((2032-Inputs!$B$9)&lt;2028,0,IF((2032-Inputs!$B$9)&gt;2040,Inputs!$B$86*(1+Inputs!$B$87)^((2032-Inputs!$B$9)-2040),_xlfn.IFS((2032-Inputs!$B$9)=2028,Inputs!$B$74,(2032-Inputs!$B$9)=2029,Inputs!$B$75,(2032-Inputs!$B$9)=2030,Inputs!$B$76,(2032-Inputs!$B$9)=2031,Inputs!$B$77,(2032-Inputs!$B$9)=2032,Inputs!$B$78,(2032-Inputs!$B$9)=2033,Inputs!$B$79,(2032-Inputs!$B$9)=2034,Inputs!$B$80,(2032-Inputs!$B$9)=2035,Inputs!$B$81,(2032-Inputs!$B$9)=2036,Inputs!$B$82,(2032-Inputs!$B$9)=2037,Inputs!$B$83,(2032-Inputs!$B$9)=2038,Inputs!$B$84,(2032-Inputs!$B$9)=2039,Inputs!$B$85,(2032-Inputs!$B$9)=2040,Inputs!$B$86)))</f>
        <v>104.9</v>
      </c>
      <c r="K25" s="41" t="n">
        <f aca="false">IF((2033-Inputs!$B$9)&lt;2028,0,IF((2033-Inputs!$B$9)&gt;2040,Inputs!$B$86*(1+Inputs!$B$87)^((2033-Inputs!$B$9)-2040),_xlfn.IFS((2033-Inputs!$B$9)=2028,Inputs!$B$74,(2033-Inputs!$B$9)=2029,Inputs!$B$75,(2033-Inputs!$B$9)=2030,Inputs!$B$76,(2033-Inputs!$B$9)=2031,Inputs!$B$77,(2033-Inputs!$B$9)=2032,Inputs!$B$78,(2033-Inputs!$B$9)=2033,Inputs!$B$79,(2033-Inputs!$B$9)=2034,Inputs!$B$80,(2033-Inputs!$B$9)=2035,Inputs!$B$81,(2033-Inputs!$B$9)=2036,Inputs!$B$82,(2033-Inputs!$B$9)=2037,Inputs!$B$83,(2033-Inputs!$B$9)=2038,Inputs!$B$84,(2033-Inputs!$B$9)=2039,Inputs!$B$85,(2033-Inputs!$B$9)=2040,Inputs!$B$86)))</f>
        <v>111.25</v>
      </c>
      <c r="L25" s="41" t="n">
        <f aca="false">IF((2034-Inputs!$B$9)&lt;2028,0,IF((2034-Inputs!$B$9)&gt;2040,Inputs!$B$86*(1+Inputs!$B$87)^((2034-Inputs!$B$9)-2040),_xlfn.IFS((2034-Inputs!$B$9)=2028,Inputs!$B$74,(2034-Inputs!$B$9)=2029,Inputs!$B$75,(2034-Inputs!$B$9)=2030,Inputs!$B$76,(2034-Inputs!$B$9)=2031,Inputs!$B$77,(2034-Inputs!$B$9)=2032,Inputs!$B$78,(2034-Inputs!$B$9)=2033,Inputs!$B$79,(2034-Inputs!$B$9)=2034,Inputs!$B$80,(2034-Inputs!$B$9)=2035,Inputs!$B$81,(2034-Inputs!$B$9)=2036,Inputs!$B$82,(2034-Inputs!$B$9)=2037,Inputs!$B$83,(2034-Inputs!$B$9)=2038,Inputs!$B$84,(2034-Inputs!$B$9)=2039,Inputs!$B$85,(2034-Inputs!$B$9)=2040,Inputs!$B$86)))</f>
        <v>118.05</v>
      </c>
      <c r="M25" s="41" t="n">
        <f aca="false">IF((2035-Inputs!$B$9)&lt;2028,0,IF((2035-Inputs!$B$9)&gt;2040,Inputs!$B$86*(1+Inputs!$B$87)^((2035-Inputs!$B$9)-2040),_xlfn.IFS((2035-Inputs!$B$9)=2028,Inputs!$B$74,(2035-Inputs!$B$9)=2029,Inputs!$B$75,(2035-Inputs!$B$9)=2030,Inputs!$B$76,(2035-Inputs!$B$9)=2031,Inputs!$B$77,(2035-Inputs!$B$9)=2032,Inputs!$B$78,(2035-Inputs!$B$9)=2033,Inputs!$B$79,(2035-Inputs!$B$9)=2034,Inputs!$B$80,(2035-Inputs!$B$9)=2035,Inputs!$B$81,(2035-Inputs!$B$9)=2036,Inputs!$B$82,(2035-Inputs!$B$9)=2037,Inputs!$B$83,(2035-Inputs!$B$9)=2038,Inputs!$B$84,(2035-Inputs!$B$9)=2039,Inputs!$B$85,(2035-Inputs!$B$9)=2040,Inputs!$B$86)))</f>
        <v>131.42</v>
      </c>
      <c r="N25" s="41" t="n">
        <f aca="false">IF((2036-Inputs!$B$9)&lt;2028,0,IF((2036-Inputs!$B$9)&gt;2040,Inputs!$B$86*(1+Inputs!$B$87)^((2036-Inputs!$B$9)-2040),_xlfn.IFS((2036-Inputs!$B$9)=2028,Inputs!$B$74,(2036-Inputs!$B$9)=2029,Inputs!$B$75,(2036-Inputs!$B$9)=2030,Inputs!$B$76,(2036-Inputs!$B$9)=2031,Inputs!$B$77,(2036-Inputs!$B$9)=2032,Inputs!$B$78,(2036-Inputs!$B$9)=2033,Inputs!$B$79,(2036-Inputs!$B$9)=2034,Inputs!$B$80,(2036-Inputs!$B$9)=2035,Inputs!$B$81,(2036-Inputs!$B$9)=2036,Inputs!$B$82,(2036-Inputs!$B$9)=2037,Inputs!$B$83,(2036-Inputs!$B$9)=2038,Inputs!$B$84,(2036-Inputs!$B$9)=2039,Inputs!$B$85,(2036-Inputs!$B$9)=2040,Inputs!$B$86)))</f>
        <v>138.21</v>
      </c>
      <c r="O25" s="41" t="n">
        <f aca="false">IF((2037-Inputs!$B$9)&lt;2028,0,IF((2037-Inputs!$B$9)&gt;2040,Inputs!$B$86*(1+Inputs!$B$87)^((2037-Inputs!$B$9)-2040),_xlfn.IFS((2037-Inputs!$B$9)=2028,Inputs!$B$74,(2037-Inputs!$B$9)=2029,Inputs!$B$75,(2037-Inputs!$B$9)=2030,Inputs!$B$76,(2037-Inputs!$B$9)=2031,Inputs!$B$77,(2037-Inputs!$B$9)=2032,Inputs!$B$78,(2037-Inputs!$B$9)=2033,Inputs!$B$79,(2037-Inputs!$B$9)=2034,Inputs!$B$80,(2037-Inputs!$B$9)=2035,Inputs!$B$81,(2037-Inputs!$B$9)=2036,Inputs!$B$82,(2037-Inputs!$B$9)=2037,Inputs!$B$83,(2037-Inputs!$B$9)=2038,Inputs!$B$84,(2037-Inputs!$B$9)=2039,Inputs!$B$85,(2037-Inputs!$B$9)=2040,Inputs!$B$86)))</f>
        <v>145.38</v>
      </c>
      <c r="P25" s="41" t="n">
        <f aca="false">IF((2038-Inputs!$B$9)&lt;2028,0,IF((2038-Inputs!$B$9)&gt;2040,Inputs!$B$86*(1+Inputs!$B$87)^((2038-Inputs!$B$9)-2040),_xlfn.IFS((2038-Inputs!$B$9)=2028,Inputs!$B$74,(2038-Inputs!$B$9)=2029,Inputs!$B$75,(2038-Inputs!$B$9)=2030,Inputs!$B$76,(2038-Inputs!$B$9)=2031,Inputs!$B$77,(2038-Inputs!$B$9)=2032,Inputs!$B$78,(2038-Inputs!$B$9)=2033,Inputs!$B$79,(2038-Inputs!$B$9)=2034,Inputs!$B$80,(2038-Inputs!$B$9)=2035,Inputs!$B$81,(2038-Inputs!$B$9)=2036,Inputs!$B$82,(2038-Inputs!$B$9)=2037,Inputs!$B$83,(2038-Inputs!$B$9)=2038,Inputs!$B$84,(2038-Inputs!$B$9)=2039,Inputs!$B$85,(2038-Inputs!$B$9)=2040,Inputs!$B$86)))</f>
        <v>159.79</v>
      </c>
      <c r="Q25" s="41" t="n">
        <f aca="false">IF((2039-Inputs!$B$9)&lt;2028,0,IF((2039-Inputs!$B$9)&gt;2040,Inputs!$B$86*(1+Inputs!$B$87)^((2039-Inputs!$B$9)-2040),_xlfn.IFS((2039-Inputs!$B$9)=2028,Inputs!$B$74,(2039-Inputs!$B$9)=2029,Inputs!$B$75,(2039-Inputs!$B$9)=2030,Inputs!$B$76,(2039-Inputs!$B$9)=2031,Inputs!$B$77,(2039-Inputs!$B$9)=2032,Inputs!$B$78,(2039-Inputs!$B$9)=2033,Inputs!$B$79,(2039-Inputs!$B$9)=2034,Inputs!$B$80,(2039-Inputs!$B$9)=2035,Inputs!$B$81,(2039-Inputs!$B$9)=2036,Inputs!$B$82,(2039-Inputs!$B$9)=2037,Inputs!$B$83,(2039-Inputs!$B$9)=2038,Inputs!$B$84,(2039-Inputs!$B$9)=2039,Inputs!$B$85,(2039-Inputs!$B$9)=2040,Inputs!$B$86)))</f>
        <v>167.46</v>
      </c>
      <c r="R25" s="41" t="n">
        <f aca="false">IF((2040-Inputs!$B$9)&lt;2028,0,IF((2040-Inputs!$B$9)&gt;2040,Inputs!$B$86*(1+Inputs!$B$87)^((2040-Inputs!$B$9)-2040),_xlfn.IFS((2040-Inputs!$B$9)=2028,Inputs!$B$74,(2040-Inputs!$B$9)=2029,Inputs!$B$75,(2040-Inputs!$B$9)=2030,Inputs!$B$76,(2040-Inputs!$B$9)=2031,Inputs!$B$77,(2040-Inputs!$B$9)=2032,Inputs!$B$78,(2040-Inputs!$B$9)=2033,Inputs!$B$79,(2040-Inputs!$B$9)=2034,Inputs!$B$80,(2040-Inputs!$B$9)=2035,Inputs!$B$81,(2040-Inputs!$B$9)=2036,Inputs!$B$82,(2040-Inputs!$B$9)=2037,Inputs!$B$83,(2040-Inputs!$B$9)=2038,Inputs!$B$84,(2040-Inputs!$B$9)=2039,Inputs!$B$85,(2040-Inputs!$B$9)=2040,Inputs!$B$86)))</f>
        <v>175.52</v>
      </c>
      <c r="S25" s="41" t="n">
        <f aca="false">IF((2041-Inputs!$B$9)&lt;2028,0,IF((2041-Inputs!$B$9)&gt;2040,Inputs!$B$86*(1+Inputs!$B$87)^((2041-Inputs!$B$9)-2040),_xlfn.IFS((2041-Inputs!$B$9)=2028,Inputs!$B$74,(2041-Inputs!$B$9)=2029,Inputs!$B$75,(2041-Inputs!$B$9)=2030,Inputs!$B$76,(2041-Inputs!$B$9)=2031,Inputs!$B$77,(2041-Inputs!$B$9)=2032,Inputs!$B$78,(2041-Inputs!$B$9)=2033,Inputs!$B$79,(2041-Inputs!$B$9)=2034,Inputs!$B$80,(2041-Inputs!$B$9)=2035,Inputs!$B$81,(2041-Inputs!$B$9)=2036,Inputs!$B$82,(2041-Inputs!$B$9)=2037,Inputs!$B$83,(2041-Inputs!$B$9)=2038,Inputs!$B$84,(2041-Inputs!$B$9)=2039,Inputs!$B$85,(2041-Inputs!$B$9)=2040,Inputs!$B$86)))</f>
        <v>179.908</v>
      </c>
      <c r="T25" s="41" t="n">
        <f aca="false">IF((2042-Inputs!$B$9)&lt;2028,0,IF((2042-Inputs!$B$9)&gt;2040,Inputs!$B$86*(1+Inputs!$B$87)^((2042-Inputs!$B$9)-2040),_xlfn.IFS((2042-Inputs!$B$9)=2028,Inputs!$B$74,(2042-Inputs!$B$9)=2029,Inputs!$B$75,(2042-Inputs!$B$9)=2030,Inputs!$B$76,(2042-Inputs!$B$9)=2031,Inputs!$B$77,(2042-Inputs!$B$9)=2032,Inputs!$B$78,(2042-Inputs!$B$9)=2033,Inputs!$B$79,(2042-Inputs!$B$9)=2034,Inputs!$B$80,(2042-Inputs!$B$9)=2035,Inputs!$B$81,(2042-Inputs!$B$9)=2036,Inputs!$B$82,(2042-Inputs!$B$9)=2037,Inputs!$B$83,(2042-Inputs!$B$9)=2038,Inputs!$B$84,(2042-Inputs!$B$9)=2039,Inputs!$B$85,(2042-Inputs!$B$9)=2040,Inputs!$B$86)))</f>
        <v>184.4057</v>
      </c>
      <c r="U25" s="41" t="n">
        <f aca="false">IF((2043-Inputs!$B$9)&lt;2028,0,IF((2043-Inputs!$B$9)&gt;2040,Inputs!$B$86*(1+Inputs!$B$87)^((2043-Inputs!$B$9)-2040),_xlfn.IFS((2043-Inputs!$B$9)=2028,Inputs!$B$74,(2043-Inputs!$B$9)=2029,Inputs!$B$75,(2043-Inputs!$B$9)=2030,Inputs!$B$76,(2043-Inputs!$B$9)=2031,Inputs!$B$77,(2043-Inputs!$B$9)=2032,Inputs!$B$78,(2043-Inputs!$B$9)=2033,Inputs!$B$79,(2043-Inputs!$B$9)=2034,Inputs!$B$80,(2043-Inputs!$B$9)=2035,Inputs!$B$81,(2043-Inputs!$B$9)=2036,Inputs!$B$82,(2043-Inputs!$B$9)=2037,Inputs!$B$83,(2043-Inputs!$B$9)=2038,Inputs!$B$84,(2043-Inputs!$B$9)=2039,Inputs!$B$85,(2043-Inputs!$B$9)=2040,Inputs!$B$86)))</f>
        <v>189.0158425</v>
      </c>
      <c r="V25" s="41" t="n">
        <f aca="false">IF((2044-Inputs!$B$9)&lt;2028,0,IF((2044-Inputs!$B$9)&gt;2040,Inputs!$B$86*(1+Inputs!$B$87)^((2044-Inputs!$B$9)-2040),_xlfn.IFS((2044-Inputs!$B$9)=2028,Inputs!$B$74,(2044-Inputs!$B$9)=2029,Inputs!$B$75,(2044-Inputs!$B$9)=2030,Inputs!$B$76,(2044-Inputs!$B$9)=2031,Inputs!$B$77,(2044-Inputs!$B$9)=2032,Inputs!$B$78,(2044-Inputs!$B$9)=2033,Inputs!$B$79,(2044-Inputs!$B$9)=2034,Inputs!$B$80,(2044-Inputs!$B$9)=2035,Inputs!$B$81,(2044-Inputs!$B$9)=2036,Inputs!$B$82,(2044-Inputs!$B$9)=2037,Inputs!$B$83,(2044-Inputs!$B$9)=2038,Inputs!$B$84,(2044-Inputs!$B$9)=2039,Inputs!$B$85,(2044-Inputs!$B$9)=2040,Inputs!$B$86)))</f>
        <v>193.7412385625</v>
      </c>
      <c r="W25" s="41" t="n">
        <f aca="false">IF((2045-Inputs!$B$9)&lt;2028,0,IF((2045-Inputs!$B$9)&gt;2040,Inputs!$B$86*(1+Inputs!$B$87)^((2045-Inputs!$B$9)-2040),_xlfn.IFS((2045-Inputs!$B$9)=2028,Inputs!$B$74,(2045-Inputs!$B$9)=2029,Inputs!$B$75,(2045-Inputs!$B$9)=2030,Inputs!$B$76,(2045-Inputs!$B$9)=2031,Inputs!$B$77,(2045-Inputs!$B$9)=2032,Inputs!$B$78,(2045-Inputs!$B$9)=2033,Inputs!$B$79,(2045-Inputs!$B$9)=2034,Inputs!$B$80,(2045-Inputs!$B$9)=2035,Inputs!$B$81,(2045-Inputs!$B$9)=2036,Inputs!$B$82,(2045-Inputs!$B$9)=2037,Inputs!$B$83,(2045-Inputs!$B$9)=2038,Inputs!$B$84,(2045-Inputs!$B$9)=2039,Inputs!$B$85,(2045-Inputs!$B$9)=2040,Inputs!$B$86)))</f>
        <v>198.584769526562</v>
      </c>
      <c r="X25" s="41" t="n">
        <f aca="false">IF((2046-Inputs!$B$9)&lt;2028,0,IF((2046-Inputs!$B$9)&gt;2040,Inputs!$B$86*(1+Inputs!$B$87)^((2046-Inputs!$B$9)-2040),_xlfn.IFS((2046-Inputs!$B$9)=2028,Inputs!$B$74,(2046-Inputs!$B$9)=2029,Inputs!$B$75,(2046-Inputs!$B$9)=2030,Inputs!$B$76,(2046-Inputs!$B$9)=2031,Inputs!$B$77,(2046-Inputs!$B$9)=2032,Inputs!$B$78,(2046-Inputs!$B$9)=2033,Inputs!$B$79,(2046-Inputs!$B$9)=2034,Inputs!$B$80,(2046-Inputs!$B$9)=2035,Inputs!$B$81,(2046-Inputs!$B$9)=2036,Inputs!$B$82,(2046-Inputs!$B$9)=2037,Inputs!$B$83,(2046-Inputs!$B$9)=2038,Inputs!$B$84,(2046-Inputs!$B$9)=2039,Inputs!$B$85,(2046-Inputs!$B$9)=2040,Inputs!$B$86)))</f>
        <v>203.549388764726</v>
      </c>
      <c r="Y25" s="41" t="n">
        <f aca="false">IF((2047-Inputs!$B$9)&lt;2028,0,IF((2047-Inputs!$B$9)&gt;2040,Inputs!$B$86*(1+Inputs!$B$87)^((2047-Inputs!$B$9)-2040),_xlfn.IFS((2047-Inputs!$B$9)=2028,Inputs!$B$74,(2047-Inputs!$B$9)=2029,Inputs!$B$75,(2047-Inputs!$B$9)=2030,Inputs!$B$76,(2047-Inputs!$B$9)=2031,Inputs!$B$77,(2047-Inputs!$B$9)=2032,Inputs!$B$78,(2047-Inputs!$B$9)=2033,Inputs!$B$79,(2047-Inputs!$B$9)=2034,Inputs!$B$80,(2047-Inputs!$B$9)=2035,Inputs!$B$81,(2047-Inputs!$B$9)=2036,Inputs!$B$82,(2047-Inputs!$B$9)=2037,Inputs!$B$83,(2047-Inputs!$B$9)=2038,Inputs!$B$84,(2047-Inputs!$B$9)=2039,Inputs!$B$85,(2047-Inputs!$B$9)=2040,Inputs!$B$86)))</f>
        <v>208.638123483845</v>
      </c>
      <c r="Z25" s="41" t="n">
        <f aca="false">IF((2048-Inputs!$B$9)&lt;2028,0,IF((2048-Inputs!$B$9)&gt;2040,Inputs!$B$86*(1+Inputs!$B$87)^((2048-Inputs!$B$9)-2040),_xlfn.IFS((2048-Inputs!$B$9)=2028,Inputs!$B$74,(2048-Inputs!$B$9)=2029,Inputs!$B$75,(2048-Inputs!$B$9)=2030,Inputs!$B$76,(2048-Inputs!$B$9)=2031,Inputs!$B$77,(2048-Inputs!$B$9)=2032,Inputs!$B$78,(2048-Inputs!$B$9)=2033,Inputs!$B$79,(2048-Inputs!$B$9)=2034,Inputs!$B$80,(2048-Inputs!$B$9)=2035,Inputs!$B$81,(2048-Inputs!$B$9)=2036,Inputs!$B$82,(2048-Inputs!$B$9)=2037,Inputs!$B$83,(2048-Inputs!$B$9)=2038,Inputs!$B$84,(2048-Inputs!$B$9)=2039,Inputs!$B$85,(2048-Inputs!$B$9)=2040,Inputs!$B$86)))</f>
        <v>213.854076570941</v>
      </c>
      <c r="AA25" s="41" t="n">
        <f aca="false">IF((2049-Inputs!$B$9)&lt;2028,0,IF((2049-Inputs!$B$9)&gt;2040,Inputs!$B$86*(1+Inputs!$B$87)^((2049-Inputs!$B$9)-2040),_xlfn.IFS((2049-Inputs!$B$9)=2028,Inputs!$B$74,(2049-Inputs!$B$9)=2029,Inputs!$B$75,(2049-Inputs!$B$9)=2030,Inputs!$B$76,(2049-Inputs!$B$9)=2031,Inputs!$B$77,(2049-Inputs!$B$9)=2032,Inputs!$B$78,(2049-Inputs!$B$9)=2033,Inputs!$B$79,(2049-Inputs!$B$9)=2034,Inputs!$B$80,(2049-Inputs!$B$9)=2035,Inputs!$B$81,(2049-Inputs!$B$9)=2036,Inputs!$B$82,(2049-Inputs!$B$9)=2037,Inputs!$B$83,(2049-Inputs!$B$9)=2038,Inputs!$B$84,(2049-Inputs!$B$9)=2039,Inputs!$B$85,(2049-Inputs!$B$9)=2040,Inputs!$B$86)))</f>
        <v>219.200428485214</v>
      </c>
      <c r="AB25" s="41" t="n">
        <f aca="false">IF((2050-Inputs!$B$9)&lt;2028,0,IF((2050-Inputs!$B$9)&gt;2040,Inputs!$B$86*(1+Inputs!$B$87)^((2050-Inputs!$B$9)-2040),_xlfn.IFS((2050-Inputs!$B$9)=2028,Inputs!$B$74,(2050-Inputs!$B$9)=2029,Inputs!$B$75,(2050-Inputs!$B$9)=2030,Inputs!$B$76,(2050-Inputs!$B$9)=2031,Inputs!$B$77,(2050-Inputs!$B$9)=2032,Inputs!$B$78,(2050-Inputs!$B$9)=2033,Inputs!$B$79,(2050-Inputs!$B$9)=2034,Inputs!$B$80,(2050-Inputs!$B$9)=2035,Inputs!$B$81,(2050-Inputs!$B$9)=2036,Inputs!$B$82,(2050-Inputs!$B$9)=2037,Inputs!$B$83,(2050-Inputs!$B$9)=2038,Inputs!$B$84,(2050-Inputs!$B$9)=2039,Inputs!$B$85,(2050-Inputs!$B$9)=2040,Inputs!$B$86)))</f>
        <v>224.680439197345</v>
      </c>
      <c r="AC25" s="41" t="n">
        <f aca="false">IF((2051-Inputs!$B$9)&lt;2028,0,IF((2051-Inputs!$B$9)&gt;2040,Inputs!$B$86*(1+Inputs!$B$87)^((2051-Inputs!$B$9)-2040),_xlfn.IFS((2051-Inputs!$B$9)=2028,Inputs!$B$74,(2051-Inputs!$B$9)=2029,Inputs!$B$75,(2051-Inputs!$B$9)=2030,Inputs!$B$76,(2051-Inputs!$B$9)=2031,Inputs!$B$77,(2051-Inputs!$B$9)=2032,Inputs!$B$78,(2051-Inputs!$B$9)=2033,Inputs!$B$79,(2051-Inputs!$B$9)=2034,Inputs!$B$80,(2051-Inputs!$B$9)=2035,Inputs!$B$81,(2051-Inputs!$B$9)=2036,Inputs!$B$82,(2051-Inputs!$B$9)=2037,Inputs!$B$83,(2051-Inputs!$B$9)=2038,Inputs!$B$84,(2051-Inputs!$B$9)=2039,Inputs!$B$85,(2051-Inputs!$B$9)=2040,Inputs!$B$86)))</f>
        <v>230.297450177278</v>
      </c>
      <c r="AD25" s="41" t="n">
        <f aca="false">IF((2052-Inputs!$B$9)&lt;2028,0,IF((2052-Inputs!$B$9)&gt;2040,Inputs!$B$86*(1+Inputs!$B$87)^((2052-Inputs!$B$9)-2040),_xlfn.IFS((2052-Inputs!$B$9)=2028,Inputs!$B$74,(2052-Inputs!$B$9)=2029,Inputs!$B$75,(2052-Inputs!$B$9)=2030,Inputs!$B$76,(2052-Inputs!$B$9)=2031,Inputs!$B$77,(2052-Inputs!$B$9)=2032,Inputs!$B$78,(2052-Inputs!$B$9)=2033,Inputs!$B$79,(2052-Inputs!$B$9)=2034,Inputs!$B$80,(2052-Inputs!$B$9)=2035,Inputs!$B$81,(2052-Inputs!$B$9)=2036,Inputs!$B$82,(2052-Inputs!$B$9)=2037,Inputs!$B$83,(2052-Inputs!$B$9)=2038,Inputs!$B$84,(2052-Inputs!$B$9)=2039,Inputs!$B$85,(2052-Inputs!$B$9)=2040,Inputs!$B$86)))</f>
        <v>236.05488643171</v>
      </c>
      <c r="AE25" s="41" t="n">
        <f aca="false">IF((2053-Inputs!$B$9)&lt;2028,0,IF((2053-Inputs!$B$9)&gt;2040,Inputs!$B$86*(1+Inputs!$B$87)^((2053-Inputs!$B$9)-2040),_xlfn.IFS((2053-Inputs!$B$9)=2028,Inputs!$B$74,(2053-Inputs!$B$9)=2029,Inputs!$B$75,(2053-Inputs!$B$9)=2030,Inputs!$B$76,(2053-Inputs!$B$9)=2031,Inputs!$B$77,(2053-Inputs!$B$9)=2032,Inputs!$B$78,(2053-Inputs!$B$9)=2033,Inputs!$B$79,(2053-Inputs!$B$9)=2034,Inputs!$B$80,(2053-Inputs!$B$9)=2035,Inputs!$B$81,(2053-Inputs!$B$9)=2036,Inputs!$B$82,(2053-Inputs!$B$9)=2037,Inputs!$B$83,(2053-Inputs!$B$9)=2038,Inputs!$B$84,(2053-Inputs!$B$9)=2039,Inputs!$B$85,(2053-Inputs!$B$9)=2040,Inputs!$B$86)))</f>
        <v>241.956258592503</v>
      </c>
      <c r="AF25" s="41" t="n">
        <f aca="false">IF((2054-Inputs!$B$9)&lt;2028,0,IF((2054-Inputs!$B$9)&gt;2040,Inputs!$B$86*(1+Inputs!$B$87)^((2054-Inputs!$B$9)-2040),_xlfn.IFS((2054-Inputs!$B$9)=2028,Inputs!$B$74,(2054-Inputs!$B$9)=2029,Inputs!$B$75,(2054-Inputs!$B$9)=2030,Inputs!$B$76,(2054-Inputs!$B$9)=2031,Inputs!$B$77,(2054-Inputs!$B$9)=2032,Inputs!$B$78,(2054-Inputs!$B$9)=2033,Inputs!$B$79,(2054-Inputs!$B$9)=2034,Inputs!$B$80,(2054-Inputs!$B$9)=2035,Inputs!$B$81,(2054-Inputs!$B$9)=2036,Inputs!$B$82,(2054-Inputs!$B$9)=2037,Inputs!$B$83,(2054-Inputs!$B$9)=2038,Inputs!$B$84,(2054-Inputs!$B$9)=2039,Inputs!$B$85,(2054-Inputs!$B$9)=2040,Inputs!$B$86)))</f>
        <v>248.005165057315</v>
      </c>
      <c r="AG25" s="41" t="n">
        <f aca="false">IF((2055-Inputs!$B$9)&lt;2028,0,IF((2055-Inputs!$B$9)&gt;2040,Inputs!$B$86*(1+Inputs!$B$87)^((2055-Inputs!$B$9)-2040),_xlfn.IFS((2055-Inputs!$B$9)=2028,Inputs!$B$74,(2055-Inputs!$B$9)=2029,Inputs!$B$75,(2055-Inputs!$B$9)=2030,Inputs!$B$76,(2055-Inputs!$B$9)=2031,Inputs!$B$77,(2055-Inputs!$B$9)=2032,Inputs!$B$78,(2055-Inputs!$B$9)=2033,Inputs!$B$79,(2055-Inputs!$B$9)=2034,Inputs!$B$80,(2055-Inputs!$B$9)=2035,Inputs!$B$81,(2055-Inputs!$B$9)=2036,Inputs!$B$82,(2055-Inputs!$B$9)=2037,Inputs!$B$83,(2055-Inputs!$B$9)=2038,Inputs!$B$84,(2055-Inputs!$B$9)=2039,Inputs!$B$85,(2055-Inputs!$B$9)=2040,Inputs!$B$86)))</f>
        <v>254.205294183748</v>
      </c>
      <c r="AH25" s="41" t="n">
        <f aca="false">IF((2056-Inputs!$B$9)&lt;2028,0,IF((2056-Inputs!$B$9)&gt;2040,Inputs!$B$86*(1+Inputs!$B$87)^((2056-Inputs!$B$9)-2040),_xlfn.IFS((2056-Inputs!$B$9)=2028,Inputs!$B$74,(2056-Inputs!$B$9)=2029,Inputs!$B$75,(2056-Inputs!$B$9)=2030,Inputs!$B$76,(2056-Inputs!$B$9)=2031,Inputs!$B$77,(2056-Inputs!$B$9)=2032,Inputs!$B$78,(2056-Inputs!$B$9)=2033,Inputs!$B$79,(2056-Inputs!$B$9)=2034,Inputs!$B$80,(2056-Inputs!$B$9)=2035,Inputs!$B$81,(2056-Inputs!$B$9)=2036,Inputs!$B$82,(2056-Inputs!$B$9)=2037,Inputs!$B$83,(2056-Inputs!$B$9)=2038,Inputs!$B$84,(2056-Inputs!$B$9)=2039,Inputs!$B$85,(2056-Inputs!$B$9)=2040,Inputs!$B$86)))</f>
        <v>260.560426538342</v>
      </c>
      <c r="AI25" s="41" t="n">
        <f aca="false">IF((2057-Inputs!$B$9)&lt;2028,0,IF((2057-Inputs!$B$9)&gt;2040,Inputs!$B$86*(1+Inputs!$B$87)^((2057-Inputs!$B$9)-2040),_xlfn.IFS((2057-Inputs!$B$9)=2028,Inputs!$B$74,(2057-Inputs!$B$9)=2029,Inputs!$B$75,(2057-Inputs!$B$9)=2030,Inputs!$B$76,(2057-Inputs!$B$9)=2031,Inputs!$B$77,(2057-Inputs!$B$9)=2032,Inputs!$B$78,(2057-Inputs!$B$9)=2033,Inputs!$B$79,(2057-Inputs!$B$9)=2034,Inputs!$B$80,(2057-Inputs!$B$9)=2035,Inputs!$B$81,(2057-Inputs!$B$9)=2036,Inputs!$B$82,(2057-Inputs!$B$9)=2037,Inputs!$B$83,(2057-Inputs!$B$9)=2038,Inputs!$B$84,(2057-Inputs!$B$9)=2039,Inputs!$B$85,(2057-Inputs!$B$9)=2040,Inputs!$B$86)))</f>
        <v>267.0744372018</v>
      </c>
      <c r="AJ25" s="41" t="n">
        <f aca="false">IF((2058-Inputs!$B$9)&lt;2028,0,IF((2058-Inputs!$B$9)&gt;2040,Inputs!$B$86*(1+Inputs!$B$87)^((2058-Inputs!$B$9)-2040),_xlfn.IFS((2058-Inputs!$B$9)=2028,Inputs!$B$74,(2058-Inputs!$B$9)=2029,Inputs!$B$75,(2058-Inputs!$B$9)=2030,Inputs!$B$76,(2058-Inputs!$B$9)=2031,Inputs!$B$77,(2058-Inputs!$B$9)=2032,Inputs!$B$78,(2058-Inputs!$B$9)=2033,Inputs!$B$79,(2058-Inputs!$B$9)=2034,Inputs!$B$80,(2058-Inputs!$B$9)=2035,Inputs!$B$81,(2058-Inputs!$B$9)=2036,Inputs!$B$82,(2058-Inputs!$B$9)=2037,Inputs!$B$83,(2058-Inputs!$B$9)=2038,Inputs!$B$84,(2058-Inputs!$B$9)=2039,Inputs!$B$85,(2058-Inputs!$B$9)=2040,Inputs!$B$86)))</f>
        <v>273.751298131845</v>
      </c>
      <c r="AK25" s="41" t="n">
        <f aca="false">IF((2059-Inputs!$B$9)&lt;2028,0,IF((2059-Inputs!$B$9)&gt;2040,Inputs!$B$86*(1+Inputs!$B$87)^((2059-Inputs!$B$9)-2040),_xlfn.IFS((2059-Inputs!$B$9)=2028,Inputs!$B$74,(2059-Inputs!$B$9)=2029,Inputs!$B$75,(2059-Inputs!$B$9)=2030,Inputs!$B$76,(2059-Inputs!$B$9)=2031,Inputs!$B$77,(2059-Inputs!$B$9)=2032,Inputs!$B$78,(2059-Inputs!$B$9)=2033,Inputs!$B$79,(2059-Inputs!$B$9)=2034,Inputs!$B$80,(2059-Inputs!$B$9)=2035,Inputs!$B$81,(2059-Inputs!$B$9)=2036,Inputs!$B$82,(2059-Inputs!$B$9)=2037,Inputs!$B$83,(2059-Inputs!$B$9)=2038,Inputs!$B$84,(2059-Inputs!$B$9)=2039,Inputs!$B$85,(2059-Inputs!$B$9)=2040,Inputs!$B$86)))</f>
        <v>280.595080585142</v>
      </c>
      <c r="AL25" s="41" t="n">
        <f aca="false">IF((2060-Inputs!$B$9)&lt;2028,0,IF((2060-Inputs!$B$9)&gt;2040,Inputs!$B$86*(1+Inputs!$B$87)^((2060-Inputs!$B$9)-2040),_xlfn.IFS((2060-Inputs!$B$9)=2028,Inputs!$B$74,(2060-Inputs!$B$9)=2029,Inputs!$B$75,(2060-Inputs!$B$9)=2030,Inputs!$B$76,(2060-Inputs!$B$9)=2031,Inputs!$B$77,(2060-Inputs!$B$9)=2032,Inputs!$B$78,(2060-Inputs!$B$9)=2033,Inputs!$B$79,(2060-Inputs!$B$9)=2034,Inputs!$B$80,(2060-Inputs!$B$9)=2035,Inputs!$B$81,(2060-Inputs!$B$9)=2036,Inputs!$B$82,(2060-Inputs!$B$9)=2037,Inputs!$B$83,(2060-Inputs!$B$9)=2038,Inputs!$B$84,(2060-Inputs!$B$9)=2039,Inputs!$B$85,(2060-Inputs!$B$9)=2040,Inputs!$B$86)))</f>
        <v>287.60995759977</v>
      </c>
      <c r="AM25" s="41" t="n">
        <f aca="false">IF((2061-Inputs!$B$9)&lt;2028,0,IF((2061-Inputs!$B$9)&gt;2040,Inputs!$B$86*(1+Inputs!$B$87)^((2061-Inputs!$B$9)-2040),_xlfn.IFS((2061-Inputs!$B$9)=2028,Inputs!$B$74,(2061-Inputs!$B$9)=2029,Inputs!$B$75,(2061-Inputs!$B$9)=2030,Inputs!$B$76,(2061-Inputs!$B$9)=2031,Inputs!$B$77,(2061-Inputs!$B$9)=2032,Inputs!$B$78,(2061-Inputs!$B$9)=2033,Inputs!$B$79,(2061-Inputs!$B$9)=2034,Inputs!$B$80,(2061-Inputs!$B$9)=2035,Inputs!$B$81,(2061-Inputs!$B$9)=2036,Inputs!$B$82,(2061-Inputs!$B$9)=2037,Inputs!$B$83,(2061-Inputs!$B$9)=2038,Inputs!$B$84,(2061-Inputs!$B$9)=2039,Inputs!$B$85,(2061-Inputs!$B$9)=2040,Inputs!$B$86)))</f>
        <v>294.800206539764</v>
      </c>
      <c r="AN25" s="41" t="n">
        <f aca="false">IF((2062-Inputs!$B$9)&lt;2028,0,IF((2062-Inputs!$B$9)&gt;2040,Inputs!$B$86*(1+Inputs!$B$87)^((2062-Inputs!$B$9)-2040),_xlfn.IFS((2062-Inputs!$B$9)=2028,Inputs!$B$74,(2062-Inputs!$B$9)=2029,Inputs!$B$75,(2062-Inputs!$B$9)=2030,Inputs!$B$76,(2062-Inputs!$B$9)=2031,Inputs!$B$77,(2062-Inputs!$B$9)=2032,Inputs!$B$78,(2062-Inputs!$B$9)=2033,Inputs!$B$79,(2062-Inputs!$B$9)=2034,Inputs!$B$80,(2062-Inputs!$B$9)=2035,Inputs!$B$81,(2062-Inputs!$B$9)=2036,Inputs!$B$82,(2062-Inputs!$B$9)=2037,Inputs!$B$83,(2062-Inputs!$B$9)=2038,Inputs!$B$84,(2062-Inputs!$B$9)=2039,Inputs!$B$85,(2062-Inputs!$B$9)=2040,Inputs!$B$86)))</f>
        <v>302.170211703258</v>
      </c>
      <c r="AO25" s="41" t="n">
        <f aca="false">IF((2063-Inputs!$B$9)&lt;2028,0,IF((2063-Inputs!$B$9)&gt;2040,Inputs!$B$86*(1+Inputs!$B$87)^((2063-Inputs!$B$9)-2040),_xlfn.IFS((2063-Inputs!$B$9)=2028,Inputs!$B$74,(2063-Inputs!$B$9)=2029,Inputs!$B$75,(2063-Inputs!$B$9)=2030,Inputs!$B$76,(2063-Inputs!$B$9)=2031,Inputs!$B$77,(2063-Inputs!$B$9)=2032,Inputs!$B$78,(2063-Inputs!$B$9)=2033,Inputs!$B$79,(2063-Inputs!$B$9)=2034,Inputs!$B$80,(2063-Inputs!$B$9)=2035,Inputs!$B$81,(2063-Inputs!$B$9)=2036,Inputs!$B$82,(2063-Inputs!$B$9)=2037,Inputs!$B$83,(2063-Inputs!$B$9)=2038,Inputs!$B$84,(2063-Inputs!$B$9)=2039,Inputs!$B$85,(2063-Inputs!$B$9)=2040,Inputs!$B$86)))</f>
        <v>309.72446699584</v>
      </c>
      <c r="AP25" s="41" t="n">
        <f aca="false">IF((2064-Inputs!$B$9)&lt;2028,0,IF((2064-Inputs!$B$9)&gt;2040,Inputs!$B$86*(1+Inputs!$B$87)^((2064-Inputs!$B$9)-2040),_xlfn.IFS((2064-Inputs!$B$9)=2028,Inputs!$B$74,(2064-Inputs!$B$9)=2029,Inputs!$B$75,(2064-Inputs!$B$9)=2030,Inputs!$B$76,(2064-Inputs!$B$9)=2031,Inputs!$B$77,(2064-Inputs!$B$9)=2032,Inputs!$B$78,(2064-Inputs!$B$9)=2033,Inputs!$B$79,(2064-Inputs!$B$9)=2034,Inputs!$B$80,(2064-Inputs!$B$9)=2035,Inputs!$B$81,(2064-Inputs!$B$9)=2036,Inputs!$B$82,(2064-Inputs!$B$9)=2037,Inputs!$B$83,(2064-Inputs!$B$9)=2038,Inputs!$B$84,(2064-Inputs!$B$9)=2039,Inputs!$B$85,(2064-Inputs!$B$9)=2040,Inputs!$B$86)))</f>
        <v>317.467578670736</v>
      </c>
      <c r="AQ25" s="41" t="n">
        <f aca="false">IF((2065-Inputs!$B$9)&lt;2028,0,IF((2065-Inputs!$B$9)&gt;2040,Inputs!$B$86*(1+Inputs!$B$87)^((2065-Inputs!$B$9)-2040),_xlfn.IFS((2065-Inputs!$B$9)=2028,Inputs!$B$74,(2065-Inputs!$B$9)=2029,Inputs!$B$75,(2065-Inputs!$B$9)=2030,Inputs!$B$76,(2065-Inputs!$B$9)=2031,Inputs!$B$77,(2065-Inputs!$B$9)=2032,Inputs!$B$78,(2065-Inputs!$B$9)=2033,Inputs!$B$79,(2065-Inputs!$B$9)=2034,Inputs!$B$80,(2065-Inputs!$B$9)=2035,Inputs!$B$81,(2065-Inputs!$B$9)=2036,Inputs!$B$82,(2065-Inputs!$B$9)=2037,Inputs!$B$83,(2065-Inputs!$B$9)=2038,Inputs!$B$84,(2065-Inputs!$B$9)=2039,Inputs!$B$85,(2065-Inputs!$B$9)=2040,Inputs!$B$86)))</f>
        <v>325.404268137504</v>
      </c>
      <c r="AR25" s="41" t="n">
        <f aca="false">IF((2066-Inputs!$B$9)&lt;2028,0,IF((2066-Inputs!$B$9)&gt;2040,Inputs!$B$86*(1+Inputs!$B$87)^((2066-Inputs!$B$9)-2040),_xlfn.IFS((2066-Inputs!$B$9)=2028,Inputs!$B$74,(2066-Inputs!$B$9)=2029,Inputs!$B$75,(2066-Inputs!$B$9)=2030,Inputs!$B$76,(2066-Inputs!$B$9)=2031,Inputs!$B$77,(2066-Inputs!$B$9)=2032,Inputs!$B$78,(2066-Inputs!$B$9)=2033,Inputs!$B$79,(2066-Inputs!$B$9)=2034,Inputs!$B$80,(2066-Inputs!$B$9)=2035,Inputs!$B$81,(2066-Inputs!$B$9)=2036,Inputs!$B$82,(2066-Inputs!$B$9)=2037,Inputs!$B$83,(2066-Inputs!$B$9)=2038,Inputs!$B$84,(2066-Inputs!$B$9)=2039,Inputs!$B$85,(2066-Inputs!$B$9)=2040,Inputs!$B$86)))</f>
        <v>333.539374840942</v>
      </c>
      <c r="AS25" s="41" t="n">
        <f aca="false">IF((2067-Inputs!$B$9)&lt;2028,0,IF((2067-Inputs!$B$9)&gt;2040,Inputs!$B$86*(1+Inputs!$B$87)^((2067-Inputs!$B$9)-2040),_xlfn.IFS((2067-Inputs!$B$9)=2028,Inputs!$B$74,(2067-Inputs!$B$9)=2029,Inputs!$B$75,(2067-Inputs!$B$9)=2030,Inputs!$B$76,(2067-Inputs!$B$9)=2031,Inputs!$B$77,(2067-Inputs!$B$9)=2032,Inputs!$B$78,(2067-Inputs!$B$9)=2033,Inputs!$B$79,(2067-Inputs!$B$9)=2034,Inputs!$B$80,(2067-Inputs!$B$9)=2035,Inputs!$B$81,(2067-Inputs!$B$9)=2036,Inputs!$B$82,(2067-Inputs!$B$9)=2037,Inputs!$B$83,(2067-Inputs!$B$9)=2038,Inputs!$B$84,(2067-Inputs!$B$9)=2039,Inputs!$B$85,(2067-Inputs!$B$9)=2040,Inputs!$B$86)))</f>
        <v>341.877859211965</v>
      </c>
      <c r="AT25" s="41" t="n">
        <f aca="false">IF((2068-Inputs!$B$9)&lt;2028,0,IF((2068-Inputs!$B$9)&gt;2040,Inputs!$B$86*(1+Inputs!$B$87)^((2068-Inputs!$B$9)-2040),_xlfn.IFS((2068-Inputs!$B$9)=2028,Inputs!$B$74,(2068-Inputs!$B$9)=2029,Inputs!$B$75,(2068-Inputs!$B$9)=2030,Inputs!$B$76,(2068-Inputs!$B$9)=2031,Inputs!$B$77,(2068-Inputs!$B$9)=2032,Inputs!$B$78,(2068-Inputs!$B$9)=2033,Inputs!$B$79,(2068-Inputs!$B$9)=2034,Inputs!$B$80,(2068-Inputs!$B$9)=2035,Inputs!$B$81,(2068-Inputs!$B$9)=2036,Inputs!$B$82,(2068-Inputs!$B$9)=2037,Inputs!$B$83,(2068-Inputs!$B$9)=2038,Inputs!$B$84,(2068-Inputs!$B$9)=2039,Inputs!$B$85,(2068-Inputs!$B$9)=2040,Inputs!$B$86)))</f>
        <v>350.424805692264</v>
      </c>
      <c r="AU25" s="41" t="n">
        <f aca="false">IF((2069-Inputs!$B$9)&lt;2028,0,IF((2069-Inputs!$B$9)&gt;2040,Inputs!$B$86*(1+Inputs!$B$87)^((2069-Inputs!$B$9)-2040),_xlfn.IFS((2069-Inputs!$B$9)=2028,Inputs!$B$74,(2069-Inputs!$B$9)=2029,Inputs!$B$75,(2069-Inputs!$B$9)=2030,Inputs!$B$76,(2069-Inputs!$B$9)=2031,Inputs!$B$77,(2069-Inputs!$B$9)=2032,Inputs!$B$78,(2069-Inputs!$B$9)=2033,Inputs!$B$79,(2069-Inputs!$B$9)=2034,Inputs!$B$80,(2069-Inputs!$B$9)=2035,Inputs!$B$81,(2069-Inputs!$B$9)=2036,Inputs!$B$82,(2069-Inputs!$B$9)=2037,Inputs!$B$83,(2069-Inputs!$B$9)=2038,Inputs!$B$84,(2069-Inputs!$B$9)=2039,Inputs!$B$85,(2069-Inputs!$B$9)=2040,Inputs!$B$86)))</f>
        <v>359.185425834571</v>
      </c>
      <c r="AV25" s="41" t="n">
        <f aca="false">IF((2070-Inputs!$B$9)&lt;2028,0,IF((2070-Inputs!$B$9)&gt;2040,Inputs!$B$86*(1+Inputs!$B$87)^((2070-Inputs!$B$9)-2040),_xlfn.IFS((2070-Inputs!$B$9)=2028,Inputs!$B$74,(2070-Inputs!$B$9)=2029,Inputs!$B$75,(2070-Inputs!$B$9)=2030,Inputs!$B$76,(2070-Inputs!$B$9)=2031,Inputs!$B$77,(2070-Inputs!$B$9)=2032,Inputs!$B$78,(2070-Inputs!$B$9)=2033,Inputs!$B$79,(2070-Inputs!$B$9)=2034,Inputs!$B$80,(2070-Inputs!$B$9)=2035,Inputs!$B$81,(2070-Inputs!$B$9)=2036,Inputs!$B$82,(2070-Inputs!$B$9)=2037,Inputs!$B$83,(2070-Inputs!$B$9)=2038,Inputs!$B$84,(2070-Inputs!$B$9)=2039,Inputs!$B$85,(2070-Inputs!$B$9)=2040,Inputs!$B$86)))</f>
        <v>368.165061480435</v>
      </c>
      <c r="AW25" s="41" t="n">
        <f aca="false">IF((2071-Inputs!$B$9)&lt;2028,0,IF((2071-Inputs!$B$9)&gt;2040,Inputs!$B$86*(1+Inputs!$B$87)^((2071-Inputs!$B$9)-2040),_xlfn.IFS((2071-Inputs!$B$9)=2028,Inputs!$B$74,(2071-Inputs!$B$9)=2029,Inputs!$B$75,(2071-Inputs!$B$9)=2030,Inputs!$B$76,(2071-Inputs!$B$9)=2031,Inputs!$B$77,(2071-Inputs!$B$9)=2032,Inputs!$B$78,(2071-Inputs!$B$9)=2033,Inputs!$B$79,(2071-Inputs!$B$9)=2034,Inputs!$B$80,(2071-Inputs!$B$9)=2035,Inputs!$B$81,(2071-Inputs!$B$9)=2036,Inputs!$B$82,(2071-Inputs!$B$9)=2037,Inputs!$B$83,(2071-Inputs!$B$9)=2038,Inputs!$B$84,(2071-Inputs!$B$9)=2039,Inputs!$B$85,(2071-Inputs!$B$9)=2040,Inputs!$B$86)))</f>
        <v>377.369188017446</v>
      </c>
      <c r="AX25" s="41" t="n">
        <f aca="false">IF((2072-Inputs!$B$9)&lt;2028,0,IF((2072-Inputs!$B$9)&gt;2040,Inputs!$B$86*(1+Inputs!$B$87)^((2072-Inputs!$B$9)-2040),_xlfn.IFS((2072-Inputs!$B$9)=2028,Inputs!$B$74,(2072-Inputs!$B$9)=2029,Inputs!$B$75,(2072-Inputs!$B$9)=2030,Inputs!$B$76,(2072-Inputs!$B$9)=2031,Inputs!$B$77,(2072-Inputs!$B$9)=2032,Inputs!$B$78,(2072-Inputs!$B$9)=2033,Inputs!$B$79,(2072-Inputs!$B$9)=2034,Inputs!$B$80,(2072-Inputs!$B$9)=2035,Inputs!$B$81,(2072-Inputs!$B$9)=2036,Inputs!$B$82,(2072-Inputs!$B$9)=2037,Inputs!$B$83,(2072-Inputs!$B$9)=2038,Inputs!$B$84,(2072-Inputs!$B$9)=2039,Inputs!$B$85,(2072-Inputs!$B$9)=2040,Inputs!$B$86)))</f>
        <v>386.803417717882</v>
      </c>
      <c r="AY25" s="41" t="n">
        <f aca="false">IF((2073-Inputs!$B$9)&lt;2028,0,IF((2073-Inputs!$B$9)&gt;2040,Inputs!$B$86*(1+Inputs!$B$87)^((2073-Inputs!$B$9)-2040),_xlfn.IFS((2073-Inputs!$B$9)=2028,Inputs!$B$74,(2073-Inputs!$B$9)=2029,Inputs!$B$75,(2073-Inputs!$B$9)=2030,Inputs!$B$76,(2073-Inputs!$B$9)=2031,Inputs!$B$77,(2073-Inputs!$B$9)=2032,Inputs!$B$78,(2073-Inputs!$B$9)=2033,Inputs!$B$79,(2073-Inputs!$B$9)=2034,Inputs!$B$80,(2073-Inputs!$B$9)=2035,Inputs!$B$81,(2073-Inputs!$B$9)=2036,Inputs!$B$82,(2073-Inputs!$B$9)=2037,Inputs!$B$83,(2073-Inputs!$B$9)=2038,Inputs!$B$84,(2073-Inputs!$B$9)=2039,Inputs!$B$85,(2073-Inputs!$B$9)=2040,Inputs!$B$86)))</f>
        <v>396.473503160829</v>
      </c>
      <c r="AZ25" s="41" t="n">
        <f aca="false">IF((2074-Inputs!$B$9)&lt;2028,0,IF((2074-Inputs!$B$9)&gt;2040,Inputs!$B$86*(1+Inputs!$B$87)^((2074-Inputs!$B$9)-2040),_xlfn.IFS((2074-Inputs!$B$9)=2028,Inputs!$B$74,(2074-Inputs!$B$9)=2029,Inputs!$B$75,(2074-Inputs!$B$9)=2030,Inputs!$B$76,(2074-Inputs!$B$9)=2031,Inputs!$B$77,(2074-Inputs!$B$9)=2032,Inputs!$B$78,(2074-Inputs!$B$9)=2033,Inputs!$B$79,(2074-Inputs!$B$9)=2034,Inputs!$B$80,(2074-Inputs!$B$9)=2035,Inputs!$B$81,(2074-Inputs!$B$9)=2036,Inputs!$B$82,(2074-Inputs!$B$9)=2037,Inputs!$B$83,(2074-Inputs!$B$9)=2038,Inputs!$B$84,(2074-Inputs!$B$9)=2039,Inputs!$B$85,(2074-Inputs!$B$9)=2040,Inputs!$B$86)))</f>
        <v>406.38534073985</v>
      </c>
    </row>
    <row r="26" customFormat="false" ht="15" hidden="false" customHeight="true" outlineLevel="0" collapsed="false">
      <c r="A26" s="13" t="s">
        <v>621</v>
      </c>
      <c r="D26" s="41" t="n">
        <f aca="false">IF((2026-Inputs!$B$9)&lt;2028,0,IF((2026-Inputs!$B$9)&gt;2040,Inputs!$B$101*(1+Inputs!$B$87)^((2026-Inputs!$B$9)-2040),_xlfn.IFS((2026-Inputs!$B$9)=2028,Inputs!$B$89,(2026-Inputs!$B$9)=2029,Inputs!$B$90,(2026-Inputs!$B$9)=2030,Inputs!$B$91,(2026-Inputs!$B$9)=2031,Inputs!$B$92,(2026-Inputs!$B$9)=2032,Inputs!$B$93,(2026-Inputs!$B$9)=2033,Inputs!$B$94,(2026-Inputs!$B$9)=2034,Inputs!$B$95,(2026-Inputs!$B$9)=2035,Inputs!$B$96,(2026-Inputs!$B$9)=2036,Inputs!$B$97,(2026-Inputs!$B$9)=2037,Inputs!$B$98,(2026-Inputs!$B$9)=2038,Inputs!$B$99,(2026-Inputs!$B$9)=2039,Inputs!$B$100,(2026-Inputs!$B$9)=2040,Inputs!$B$101)))</f>
        <v>0</v>
      </c>
      <c r="E26" s="41" t="n">
        <f aca="false">IF((2027-Inputs!$B$9)&lt;2028,0,IF((2027-Inputs!$B$9)&gt;2040,Inputs!$B$101*(1+Inputs!$B$87)^((2027-Inputs!$B$9)-2040),_xlfn.IFS((2027-Inputs!$B$9)=2028,Inputs!$B$89,(2027-Inputs!$B$9)=2029,Inputs!$B$90,(2027-Inputs!$B$9)=2030,Inputs!$B$91,(2027-Inputs!$B$9)=2031,Inputs!$B$92,(2027-Inputs!$B$9)=2032,Inputs!$B$93,(2027-Inputs!$B$9)=2033,Inputs!$B$94,(2027-Inputs!$B$9)=2034,Inputs!$B$95,(2027-Inputs!$B$9)=2035,Inputs!$B$96,(2027-Inputs!$B$9)=2036,Inputs!$B$97,(2027-Inputs!$B$9)=2037,Inputs!$B$98,(2027-Inputs!$B$9)=2038,Inputs!$B$99,(2027-Inputs!$B$9)=2039,Inputs!$B$100,(2027-Inputs!$B$9)=2040,Inputs!$B$101)))</f>
        <v>0</v>
      </c>
      <c r="F26" s="41" t="n">
        <f aca="false">IF((2028-Inputs!$B$9)&lt;2028,0,IF((2028-Inputs!$B$9)&gt;2040,Inputs!$B$101*(1+Inputs!$B$87)^((2028-Inputs!$B$9)-2040),_xlfn.IFS((2028-Inputs!$B$9)=2028,Inputs!$B$89,(2028-Inputs!$B$9)=2029,Inputs!$B$90,(2028-Inputs!$B$9)=2030,Inputs!$B$91,(2028-Inputs!$B$9)=2031,Inputs!$B$92,(2028-Inputs!$B$9)=2032,Inputs!$B$93,(2028-Inputs!$B$9)=2033,Inputs!$B$94,(2028-Inputs!$B$9)=2034,Inputs!$B$95,(2028-Inputs!$B$9)=2035,Inputs!$B$96,(2028-Inputs!$B$9)=2036,Inputs!$B$97,(2028-Inputs!$B$9)=2037,Inputs!$B$98,(2028-Inputs!$B$9)=2038,Inputs!$B$99,(2028-Inputs!$B$9)=2039,Inputs!$B$100,(2028-Inputs!$B$9)=2040,Inputs!$B$101)))</f>
        <v>104.328</v>
      </c>
      <c r="G26" s="41" t="n">
        <f aca="false">IF((2029-Inputs!$B$9)&lt;2028,0,IF((2029-Inputs!$B$9)&gt;2040,Inputs!$B$101*(1+Inputs!$B$87)^((2029-Inputs!$B$9)-2040),_xlfn.IFS((2029-Inputs!$B$9)=2028,Inputs!$B$89,(2029-Inputs!$B$9)=2029,Inputs!$B$90,(2029-Inputs!$B$9)=2030,Inputs!$B$91,(2029-Inputs!$B$9)=2031,Inputs!$B$92,(2029-Inputs!$B$9)=2032,Inputs!$B$93,(2029-Inputs!$B$9)=2033,Inputs!$B$94,(2029-Inputs!$B$9)=2034,Inputs!$B$95,(2029-Inputs!$B$9)=2035,Inputs!$B$96,(2029-Inputs!$B$9)=2036,Inputs!$B$97,(2029-Inputs!$B$9)=2037,Inputs!$B$98,(2029-Inputs!$B$9)=2038,Inputs!$B$99,(2029-Inputs!$B$9)=2039,Inputs!$B$100,(2029-Inputs!$B$9)=2040,Inputs!$B$101)))</f>
        <v>110.519</v>
      </c>
      <c r="H26" s="41" t="n">
        <f aca="false">IF((2030-Inputs!$B$9)&lt;2028,0,IF((2030-Inputs!$B$9)&gt;2040,Inputs!$B$101*(1+Inputs!$B$87)^((2030-Inputs!$B$9)-2040),_xlfn.IFS((2030-Inputs!$B$9)=2028,Inputs!$B$89,(2030-Inputs!$B$9)=2029,Inputs!$B$90,(2030-Inputs!$B$9)=2030,Inputs!$B$91,(2030-Inputs!$B$9)=2031,Inputs!$B$92,(2030-Inputs!$B$9)=2032,Inputs!$B$93,(2030-Inputs!$B$9)=2033,Inputs!$B$94,(2030-Inputs!$B$9)=2034,Inputs!$B$95,(2030-Inputs!$B$9)=2035,Inputs!$B$96,(2030-Inputs!$B$9)=2036,Inputs!$B$97,(2030-Inputs!$B$9)=2037,Inputs!$B$98,(2030-Inputs!$B$9)=2038,Inputs!$B$99,(2030-Inputs!$B$9)=2039,Inputs!$B$100,(2030-Inputs!$B$9)=2040,Inputs!$B$101)))</f>
        <v>115.216</v>
      </c>
      <c r="I26" s="41" t="n">
        <f aca="false">IF((2031-Inputs!$B$9)&lt;2028,0,IF((2031-Inputs!$B$9)&gt;2040,Inputs!$B$101*(1+Inputs!$B$87)^((2031-Inputs!$B$9)-2040),_xlfn.IFS((2031-Inputs!$B$9)=2028,Inputs!$B$89,(2031-Inputs!$B$9)=2029,Inputs!$B$90,(2031-Inputs!$B$9)=2030,Inputs!$B$91,(2031-Inputs!$B$9)=2031,Inputs!$B$92,(2031-Inputs!$B$9)=2032,Inputs!$B$93,(2031-Inputs!$B$9)=2033,Inputs!$B$94,(2031-Inputs!$B$9)=2034,Inputs!$B$95,(2031-Inputs!$B$9)=2035,Inputs!$B$96,(2031-Inputs!$B$9)=2036,Inputs!$B$97,(2031-Inputs!$B$9)=2037,Inputs!$B$98,(2031-Inputs!$B$9)=2038,Inputs!$B$99,(2031-Inputs!$B$9)=2039,Inputs!$B$100,(2031-Inputs!$B$9)=2040,Inputs!$B$101)))</f>
        <v>119.075</v>
      </c>
      <c r="J26" s="41" t="n">
        <f aca="false">IF((2032-Inputs!$B$9)&lt;2028,0,IF((2032-Inputs!$B$9)&gt;2040,Inputs!$B$101*(1+Inputs!$B$87)^((2032-Inputs!$B$9)-2040),_xlfn.IFS((2032-Inputs!$B$9)=2028,Inputs!$B$89,(2032-Inputs!$B$9)=2029,Inputs!$B$90,(2032-Inputs!$B$9)=2030,Inputs!$B$91,(2032-Inputs!$B$9)=2031,Inputs!$B$92,(2032-Inputs!$B$9)=2032,Inputs!$B$93,(2032-Inputs!$B$9)=2033,Inputs!$B$94,(2032-Inputs!$B$9)=2034,Inputs!$B$95,(2032-Inputs!$B$9)=2035,Inputs!$B$96,(2032-Inputs!$B$9)=2036,Inputs!$B$97,(2032-Inputs!$B$9)=2037,Inputs!$B$98,(2032-Inputs!$B$9)=2038,Inputs!$B$99,(2032-Inputs!$B$9)=2039,Inputs!$B$100,(2032-Inputs!$B$9)=2040,Inputs!$B$101)))</f>
        <v>125.825</v>
      </c>
      <c r="K26" s="41" t="n">
        <f aca="false">IF((2033-Inputs!$B$9)&lt;2028,0,IF((2033-Inputs!$B$9)&gt;2040,Inputs!$B$101*(1+Inputs!$B$87)^((2033-Inputs!$B$9)-2040),_xlfn.IFS((2033-Inputs!$B$9)=2028,Inputs!$B$89,(2033-Inputs!$B$9)=2029,Inputs!$B$90,(2033-Inputs!$B$9)=2030,Inputs!$B$91,(2033-Inputs!$B$9)=2031,Inputs!$B$92,(2033-Inputs!$B$9)=2032,Inputs!$B$93,(2033-Inputs!$B$9)=2033,Inputs!$B$94,(2033-Inputs!$B$9)=2034,Inputs!$B$95,(2033-Inputs!$B$9)=2035,Inputs!$B$96,(2033-Inputs!$B$9)=2036,Inputs!$B$97,(2033-Inputs!$B$9)=2037,Inputs!$B$98,(2033-Inputs!$B$9)=2038,Inputs!$B$99,(2033-Inputs!$B$9)=2039,Inputs!$B$100,(2033-Inputs!$B$9)=2040,Inputs!$B$101)))</f>
        <v>132.794</v>
      </c>
      <c r="L26" s="41" t="n">
        <f aca="false">IF((2034-Inputs!$B$9)&lt;2028,0,IF((2034-Inputs!$B$9)&gt;2040,Inputs!$B$101*(1+Inputs!$B$87)^((2034-Inputs!$B$9)-2040),_xlfn.IFS((2034-Inputs!$B$9)=2028,Inputs!$B$89,(2034-Inputs!$B$9)=2029,Inputs!$B$90,(2034-Inputs!$B$9)=2030,Inputs!$B$91,(2034-Inputs!$B$9)=2031,Inputs!$B$92,(2034-Inputs!$B$9)=2032,Inputs!$B$93,(2034-Inputs!$B$9)=2033,Inputs!$B$94,(2034-Inputs!$B$9)=2034,Inputs!$B$95,(2034-Inputs!$B$9)=2035,Inputs!$B$96,(2034-Inputs!$B$9)=2036,Inputs!$B$97,(2034-Inputs!$B$9)=2037,Inputs!$B$98,(2034-Inputs!$B$9)=2038,Inputs!$B$99,(2034-Inputs!$B$9)=2039,Inputs!$B$100,(2034-Inputs!$B$9)=2040,Inputs!$B$101)))</f>
        <v>140.706</v>
      </c>
      <c r="M26" s="41" t="n">
        <f aca="false">IF((2035-Inputs!$B$9)&lt;2028,0,IF((2035-Inputs!$B$9)&gt;2040,Inputs!$B$101*(1+Inputs!$B$87)^((2035-Inputs!$B$9)-2040),_xlfn.IFS((2035-Inputs!$B$9)=2028,Inputs!$B$89,(2035-Inputs!$B$9)=2029,Inputs!$B$90,(2035-Inputs!$B$9)=2030,Inputs!$B$91,(2035-Inputs!$B$9)=2031,Inputs!$B$92,(2035-Inputs!$B$9)=2032,Inputs!$B$93,(2035-Inputs!$B$9)=2033,Inputs!$B$94,(2035-Inputs!$B$9)=2034,Inputs!$B$95,(2035-Inputs!$B$9)=2035,Inputs!$B$96,(2035-Inputs!$B$9)=2036,Inputs!$B$97,(2035-Inputs!$B$9)=2037,Inputs!$B$98,(2035-Inputs!$B$9)=2038,Inputs!$B$99,(2035-Inputs!$B$9)=2039,Inputs!$B$100,(2035-Inputs!$B$9)=2040,Inputs!$B$101)))</f>
        <v>149.264</v>
      </c>
      <c r="N26" s="41" t="n">
        <f aca="false">IF((2036-Inputs!$B$9)&lt;2028,0,IF((2036-Inputs!$B$9)&gt;2040,Inputs!$B$101*(1+Inputs!$B$87)^((2036-Inputs!$B$9)-2040),_xlfn.IFS((2036-Inputs!$B$9)=2028,Inputs!$B$89,(2036-Inputs!$B$9)=2029,Inputs!$B$90,(2036-Inputs!$B$9)=2030,Inputs!$B$91,(2036-Inputs!$B$9)=2031,Inputs!$B$92,(2036-Inputs!$B$9)=2032,Inputs!$B$93,(2036-Inputs!$B$9)=2033,Inputs!$B$94,(2036-Inputs!$B$9)=2034,Inputs!$B$95,(2036-Inputs!$B$9)=2035,Inputs!$B$96,(2036-Inputs!$B$9)=2036,Inputs!$B$97,(2036-Inputs!$B$9)=2037,Inputs!$B$98,(2036-Inputs!$B$9)=2038,Inputs!$B$99,(2036-Inputs!$B$9)=2039,Inputs!$B$100,(2036-Inputs!$B$9)=2040,Inputs!$B$101)))</f>
        <v>156.54</v>
      </c>
      <c r="O26" s="41" t="n">
        <f aca="false">IF((2037-Inputs!$B$9)&lt;2028,0,IF((2037-Inputs!$B$9)&gt;2040,Inputs!$B$101*(1+Inputs!$B$87)^((2037-Inputs!$B$9)-2040),_xlfn.IFS((2037-Inputs!$B$9)=2028,Inputs!$B$89,(2037-Inputs!$B$9)=2029,Inputs!$B$90,(2037-Inputs!$B$9)=2030,Inputs!$B$91,(2037-Inputs!$B$9)=2031,Inputs!$B$92,(2037-Inputs!$B$9)=2032,Inputs!$B$93,(2037-Inputs!$B$9)=2033,Inputs!$B$94,(2037-Inputs!$B$9)=2034,Inputs!$B$95,(2037-Inputs!$B$9)=2035,Inputs!$B$96,(2037-Inputs!$B$9)=2036,Inputs!$B$97,(2037-Inputs!$B$9)=2037,Inputs!$B$98,(2037-Inputs!$B$9)=2038,Inputs!$B$99,(2037-Inputs!$B$9)=2039,Inputs!$B$100,(2037-Inputs!$B$9)=2040,Inputs!$B$101)))</f>
        <v>163.825</v>
      </c>
      <c r="P26" s="41" t="n">
        <f aca="false">IF((2038-Inputs!$B$9)&lt;2028,0,IF((2038-Inputs!$B$9)&gt;2040,Inputs!$B$101*(1+Inputs!$B$87)^((2038-Inputs!$B$9)-2040),_xlfn.IFS((2038-Inputs!$B$9)=2028,Inputs!$B$89,(2038-Inputs!$B$9)=2029,Inputs!$B$90,(2038-Inputs!$B$9)=2030,Inputs!$B$91,(2038-Inputs!$B$9)=2031,Inputs!$B$92,(2038-Inputs!$B$9)=2032,Inputs!$B$93,(2038-Inputs!$B$9)=2033,Inputs!$B$94,(2038-Inputs!$B$9)=2034,Inputs!$B$95,(2038-Inputs!$B$9)=2035,Inputs!$B$96,(2038-Inputs!$B$9)=2036,Inputs!$B$97,(2038-Inputs!$B$9)=2037,Inputs!$B$98,(2038-Inputs!$B$9)=2038,Inputs!$B$99,(2038-Inputs!$B$9)=2039,Inputs!$B$100,(2038-Inputs!$B$9)=2040,Inputs!$B$101)))</f>
        <v>171.073</v>
      </c>
      <c r="Q26" s="41" t="n">
        <f aca="false">IF((2039-Inputs!$B$9)&lt;2028,0,IF((2039-Inputs!$B$9)&gt;2040,Inputs!$B$101*(1+Inputs!$B$87)^((2039-Inputs!$B$9)-2040),_xlfn.IFS((2039-Inputs!$B$9)=2028,Inputs!$B$89,(2039-Inputs!$B$9)=2029,Inputs!$B$90,(2039-Inputs!$B$9)=2030,Inputs!$B$91,(2039-Inputs!$B$9)=2031,Inputs!$B$92,(2039-Inputs!$B$9)=2032,Inputs!$B$93,(2039-Inputs!$B$9)=2033,Inputs!$B$94,(2039-Inputs!$B$9)=2034,Inputs!$B$95,(2039-Inputs!$B$9)=2035,Inputs!$B$96,(2039-Inputs!$B$9)=2036,Inputs!$B$97,(2039-Inputs!$B$9)=2037,Inputs!$B$98,(2039-Inputs!$B$9)=2038,Inputs!$B$99,(2039-Inputs!$B$9)=2039,Inputs!$B$100,(2039-Inputs!$B$9)=2040,Inputs!$B$101)))</f>
        <v>178.88</v>
      </c>
      <c r="R26" s="41" t="n">
        <f aca="false">IF((2040-Inputs!$B$9)&lt;2028,0,IF((2040-Inputs!$B$9)&gt;2040,Inputs!$B$101*(1+Inputs!$B$87)^((2040-Inputs!$B$9)-2040),_xlfn.IFS((2040-Inputs!$B$9)=2028,Inputs!$B$89,(2040-Inputs!$B$9)=2029,Inputs!$B$90,(2040-Inputs!$B$9)=2030,Inputs!$B$91,(2040-Inputs!$B$9)=2031,Inputs!$B$92,(2040-Inputs!$B$9)=2032,Inputs!$B$93,(2040-Inputs!$B$9)=2033,Inputs!$B$94,(2040-Inputs!$B$9)=2034,Inputs!$B$95,(2040-Inputs!$B$9)=2035,Inputs!$B$96,(2040-Inputs!$B$9)=2036,Inputs!$B$97,(2040-Inputs!$B$9)=2037,Inputs!$B$98,(2040-Inputs!$B$9)=2038,Inputs!$B$99,(2040-Inputs!$B$9)=2039,Inputs!$B$100,(2040-Inputs!$B$9)=2040,Inputs!$B$101)))</f>
        <v>187.14</v>
      </c>
      <c r="S26" s="41" t="n">
        <f aca="false">IF((2041-Inputs!$B$9)&lt;2028,0,IF((2041-Inputs!$B$9)&gt;2040,Inputs!$B$101*(1+Inputs!$B$87)^((2041-Inputs!$B$9)-2040),_xlfn.IFS((2041-Inputs!$B$9)=2028,Inputs!$B$89,(2041-Inputs!$B$9)=2029,Inputs!$B$90,(2041-Inputs!$B$9)=2030,Inputs!$B$91,(2041-Inputs!$B$9)=2031,Inputs!$B$92,(2041-Inputs!$B$9)=2032,Inputs!$B$93,(2041-Inputs!$B$9)=2033,Inputs!$B$94,(2041-Inputs!$B$9)=2034,Inputs!$B$95,(2041-Inputs!$B$9)=2035,Inputs!$B$96,(2041-Inputs!$B$9)=2036,Inputs!$B$97,(2041-Inputs!$B$9)=2037,Inputs!$B$98,(2041-Inputs!$B$9)=2038,Inputs!$B$99,(2041-Inputs!$B$9)=2039,Inputs!$B$100,(2041-Inputs!$B$9)=2040,Inputs!$B$101)))</f>
        <v>191.8185</v>
      </c>
      <c r="T26" s="41" t="n">
        <f aca="false">IF((2042-Inputs!$B$9)&lt;2028,0,IF((2042-Inputs!$B$9)&gt;2040,Inputs!$B$101*(1+Inputs!$B$87)^((2042-Inputs!$B$9)-2040),_xlfn.IFS((2042-Inputs!$B$9)=2028,Inputs!$B$89,(2042-Inputs!$B$9)=2029,Inputs!$B$90,(2042-Inputs!$B$9)=2030,Inputs!$B$91,(2042-Inputs!$B$9)=2031,Inputs!$B$92,(2042-Inputs!$B$9)=2032,Inputs!$B$93,(2042-Inputs!$B$9)=2033,Inputs!$B$94,(2042-Inputs!$B$9)=2034,Inputs!$B$95,(2042-Inputs!$B$9)=2035,Inputs!$B$96,(2042-Inputs!$B$9)=2036,Inputs!$B$97,(2042-Inputs!$B$9)=2037,Inputs!$B$98,(2042-Inputs!$B$9)=2038,Inputs!$B$99,(2042-Inputs!$B$9)=2039,Inputs!$B$100,(2042-Inputs!$B$9)=2040,Inputs!$B$101)))</f>
        <v>196.6139625</v>
      </c>
      <c r="U26" s="41" t="n">
        <f aca="false">IF((2043-Inputs!$B$9)&lt;2028,0,IF((2043-Inputs!$B$9)&gt;2040,Inputs!$B$101*(1+Inputs!$B$87)^((2043-Inputs!$B$9)-2040),_xlfn.IFS((2043-Inputs!$B$9)=2028,Inputs!$B$89,(2043-Inputs!$B$9)=2029,Inputs!$B$90,(2043-Inputs!$B$9)=2030,Inputs!$B$91,(2043-Inputs!$B$9)=2031,Inputs!$B$92,(2043-Inputs!$B$9)=2032,Inputs!$B$93,(2043-Inputs!$B$9)=2033,Inputs!$B$94,(2043-Inputs!$B$9)=2034,Inputs!$B$95,(2043-Inputs!$B$9)=2035,Inputs!$B$96,(2043-Inputs!$B$9)=2036,Inputs!$B$97,(2043-Inputs!$B$9)=2037,Inputs!$B$98,(2043-Inputs!$B$9)=2038,Inputs!$B$99,(2043-Inputs!$B$9)=2039,Inputs!$B$100,(2043-Inputs!$B$9)=2040,Inputs!$B$101)))</f>
        <v>201.5293115625</v>
      </c>
      <c r="V26" s="41" t="n">
        <f aca="false">IF((2044-Inputs!$B$9)&lt;2028,0,IF((2044-Inputs!$B$9)&gt;2040,Inputs!$B$101*(1+Inputs!$B$87)^((2044-Inputs!$B$9)-2040),_xlfn.IFS((2044-Inputs!$B$9)=2028,Inputs!$B$89,(2044-Inputs!$B$9)=2029,Inputs!$B$90,(2044-Inputs!$B$9)=2030,Inputs!$B$91,(2044-Inputs!$B$9)=2031,Inputs!$B$92,(2044-Inputs!$B$9)=2032,Inputs!$B$93,(2044-Inputs!$B$9)=2033,Inputs!$B$94,(2044-Inputs!$B$9)=2034,Inputs!$B$95,(2044-Inputs!$B$9)=2035,Inputs!$B$96,(2044-Inputs!$B$9)=2036,Inputs!$B$97,(2044-Inputs!$B$9)=2037,Inputs!$B$98,(2044-Inputs!$B$9)=2038,Inputs!$B$99,(2044-Inputs!$B$9)=2039,Inputs!$B$100,(2044-Inputs!$B$9)=2040,Inputs!$B$101)))</f>
        <v>206.567544351562</v>
      </c>
      <c r="W26" s="41" t="n">
        <f aca="false">IF((2045-Inputs!$B$9)&lt;2028,0,IF((2045-Inputs!$B$9)&gt;2040,Inputs!$B$101*(1+Inputs!$B$87)^((2045-Inputs!$B$9)-2040),_xlfn.IFS((2045-Inputs!$B$9)=2028,Inputs!$B$89,(2045-Inputs!$B$9)=2029,Inputs!$B$90,(2045-Inputs!$B$9)=2030,Inputs!$B$91,(2045-Inputs!$B$9)=2031,Inputs!$B$92,(2045-Inputs!$B$9)=2032,Inputs!$B$93,(2045-Inputs!$B$9)=2033,Inputs!$B$94,(2045-Inputs!$B$9)=2034,Inputs!$B$95,(2045-Inputs!$B$9)=2035,Inputs!$B$96,(2045-Inputs!$B$9)=2036,Inputs!$B$97,(2045-Inputs!$B$9)=2037,Inputs!$B$98,(2045-Inputs!$B$9)=2038,Inputs!$B$99,(2045-Inputs!$B$9)=2039,Inputs!$B$100,(2045-Inputs!$B$9)=2040,Inputs!$B$101)))</f>
        <v>211.731732960351</v>
      </c>
      <c r="X26" s="41" t="n">
        <f aca="false">IF((2046-Inputs!$B$9)&lt;2028,0,IF((2046-Inputs!$B$9)&gt;2040,Inputs!$B$101*(1+Inputs!$B$87)^((2046-Inputs!$B$9)-2040),_xlfn.IFS((2046-Inputs!$B$9)=2028,Inputs!$B$89,(2046-Inputs!$B$9)=2029,Inputs!$B$90,(2046-Inputs!$B$9)=2030,Inputs!$B$91,(2046-Inputs!$B$9)=2031,Inputs!$B$92,(2046-Inputs!$B$9)=2032,Inputs!$B$93,(2046-Inputs!$B$9)=2033,Inputs!$B$94,(2046-Inputs!$B$9)=2034,Inputs!$B$95,(2046-Inputs!$B$9)=2035,Inputs!$B$96,(2046-Inputs!$B$9)=2036,Inputs!$B$97,(2046-Inputs!$B$9)=2037,Inputs!$B$98,(2046-Inputs!$B$9)=2038,Inputs!$B$99,(2046-Inputs!$B$9)=2039,Inputs!$B$100,(2046-Inputs!$B$9)=2040,Inputs!$B$101)))</f>
        <v>217.02502628436</v>
      </c>
      <c r="Y26" s="41" t="n">
        <f aca="false">IF((2047-Inputs!$B$9)&lt;2028,0,IF((2047-Inputs!$B$9)&gt;2040,Inputs!$B$101*(1+Inputs!$B$87)^((2047-Inputs!$B$9)-2040),_xlfn.IFS((2047-Inputs!$B$9)=2028,Inputs!$B$89,(2047-Inputs!$B$9)=2029,Inputs!$B$90,(2047-Inputs!$B$9)=2030,Inputs!$B$91,(2047-Inputs!$B$9)=2031,Inputs!$B$92,(2047-Inputs!$B$9)=2032,Inputs!$B$93,(2047-Inputs!$B$9)=2033,Inputs!$B$94,(2047-Inputs!$B$9)=2034,Inputs!$B$95,(2047-Inputs!$B$9)=2035,Inputs!$B$96,(2047-Inputs!$B$9)=2036,Inputs!$B$97,(2047-Inputs!$B$9)=2037,Inputs!$B$98,(2047-Inputs!$B$9)=2038,Inputs!$B$99,(2047-Inputs!$B$9)=2039,Inputs!$B$100,(2047-Inputs!$B$9)=2040,Inputs!$B$101)))</f>
        <v>222.450651941469</v>
      </c>
      <c r="Z26" s="41" t="n">
        <f aca="false">IF((2048-Inputs!$B$9)&lt;2028,0,IF((2048-Inputs!$B$9)&gt;2040,Inputs!$B$101*(1+Inputs!$B$87)^((2048-Inputs!$B$9)-2040),_xlfn.IFS((2048-Inputs!$B$9)=2028,Inputs!$B$89,(2048-Inputs!$B$9)=2029,Inputs!$B$90,(2048-Inputs!$B$9)=2030,Inputs!$B$91,(2048-Inputs!$B$9)=2031,Inputs!$B$92,(2048-Inputs!$B$9)=2032,Inputs!$B$93,(2048-Inputs!$B$9)=2033,Inputs!$B$94,(2048-Inputs!$B$9)=2034,Inputs!$B$95,(2048-Inputs!$B$9)=2035,Inputs!$B$96,(2048-Inputs!$B$9)=2036,Inputs!$B$97,(2048-Inputs!$B$9)=2037,Inputs!$B$98,(2048-Inputs!$B$9)=2038,Inputs!$B$99,(2048-Inputs!$B$9)=2039,Inputs!$B$100,(2048-Inputs!$B$9)=2040,Inputs!$B$101)))</f>
        <v>228.011918240006</v>
      </c>
      <c r="AA26" s="41" t="n">
        <f aca="false">IF((2049-Inputs!$B$9)&lt;2028,0,IF((2049-Inputs!$B$9)&gt;2040,Inputs!$B$101*(1+Inputs!$B$87)^((2049-Inputs!$B$9)-2040),_xlfn.IFS((2049-Inputs!$B$9)=2028,Inputs!$B$89,(2049-Inputs!$B$9)=2029,Inputs!$B$90,(2049-Inputs!$B$9)=2030,Inputs!$B$91,(2049-Inputs!$B$9)=2031,Inputs!$B$92,(2049-Inputs!$B$9)=2032,Inputs!$B$93,(2049-Inputs!$B$9)=2033,Inputs!$B$94,(2049-Inputs!$B$9)=2034,Inputs!$B$95,(2049-Inputs!$B$9)=2035,Inputs!$B$96,(2049-Inputs!$B$9)=2036,Inputs!$B$97,(2049-Inputs!$B$9)=2037,Inputs!$B$98,(2049-Inputs!$B$9)=2038,Inputs!$B$99,(2049-Inputs!$B$9)=2039,Inputs!$B$100,(2049-Inputs!$B$9)=2040,Inputs!$B$101)))</f>
        <v>233.712216196006</v>
      </c>
      <c r="AB26" s="41" t="n">
        <f aca="false">IF((2050-Inputs!$B$9)&lt;2028,0,IF((2050-Inputs!$B$9)&gt;2040,Inputs!$B$101*(1+Inputs!$B$87)^((2050-Inputs!$B$9)-2040),_xlfn.IFS((2050-Inputs!$B$9)=2028,Inputs!$B$89,(2050-Inputs!$B$9)=2029,Inputs!$B$90,(2050-Inputs!$B$9)=2030,Inputs!$B$91,(2050-Inputs!$B$9)=2031,Inputs!$B$92,(2050-Inputs!$B$9)=2032,Inputs!$B$93,(2050-Inputs!$B$9)=2033,Inputs!$B$94,(2050-Inputs!$B$9)=2034,Inputs!$B$95,(2050-Inputs!$B$9)=2035,Inputs!$B$96,(2050-Inputs!$B$9)=2036,Inputs!$B$97,(2050-Inputs!$B$9)=2037,Inputs!$B$98,(2050-Inputs!$B$9)=2038,Inputs!$B$99,(2050-Inputs!$B$9)=2039,Inputs!$B$100,(2050-Inputs!$B$9)=2040,Inputs!$B$101)))</f>
        <v>239.555021600906</v>
      </c>
      <c r="AC26" s="41" t="n">
        <f aca="false">IF((2051-Inputs!$B$9)&lt;2028,0,IF((2051-Inputs!$B$9)&gt;2040,Inputs!$B$101*(1+Inputs!$B$87)^((2051-Inputs!$B$9)-2040),_xlfn.IFS((2051-Inputs!$B$9)=2028,Inputs!$B$89,(2051-Inputs!$B$9)=2029,Inputs!$B$90,(2051-Inputs!$B$9)=2030,Inputs!$B$91,(2051-Inputs!$B$9)=2031,Inputs!$B$92,(2051-Inputs!$B$9)=2032,Inputs!$B$93,(2051-Inputs!$B$9)=2033,Inputs!$B$94,(2051-Inputs!$B$9)=2034,Inputs!$B$95,(2051-Inputs!$B$9)=2035,Inputs!$B$96,(2051-Inputs!$B$9)=2036,Inputs!$B$97,(2051-Inputs!$B$9)=2037,Inputs!$B$98,(2051-Inputs!$B$9)=2038,Inputs!$B$99,(2051-Inputs!$B$9)=2039,Inputs!$B$100,(2051-Inputs!$B$9)=2040,Inputs!$B$101)))</f>
        <v>245.543897140929</v>
      </c>
      <c r="AD26" s="41" t="n">
        <f aca="false">IF((2052-Inputs!$B$9)&lt;2028,0,IF((2052-Inputs!$B$9)&gt;2040,Inputs!$B$101*(1+Inputs!$B$87)^((2052-Inputs!$B$9)-2040),_xlfn.IFS((2052-Inputs!$B$9)=2028,Inputs!$B$89,(2052-Inputs!$B$9)=2029,Inputs!$B$90,(2052-Inputs!$B$9)=2030,Inputs!$B$91,(2052-Inputs!$B$9)=2031,Inputs!$B$92,(2052-Inputs!$B$9)=2032,Inputs!$B$93,(2052-Inputs!$B$9)=2033,Inputs!$B$94,(2052-Inputs!$B$9)=2034,Inputs!$B$95,(2052-Inputs!$B$9)=2035,Inputs!$B$96,(2052-Inputs!$B$9)=2036,Inputs!$B$97,(2052-Inputs!$B$9)=2037,Inputs!$B$98,(2052-Inputs!$B$9)=2038,Inputs!$B$99,(2052-Inputs!$B$9)=2039,Inputs!$B$100,(2052-Inputs!$B$9)=2040,Inputs!$B$101)))</f>
        <v>251.682494569452</v>
      </c>
      <c r="AE26" s="41" t="n">
        <f aca="false">IF((2053-Inputs!$B$9)&lt;2028,0,IF((2053-Inputs!$B$9)&gt;2040,Inputs!$B$101*(1+Inputs!$B$87)^((2053-Inputs!$B$9)-2040),_xlfn.IFS((2053-Inputs!$B$9)=2028,Inputs!$B$89,(2053-Inputs!$B$9)=2029,Inputs!$B$90,(2053-Inputs!$B$9)=2030,Inputs!$B$91,(2053-Inputs!$B$9)=2031,Inputs!$B$92,(2053-Inputs!$B$9)=2032,Inputs!$B$93,(2053-Inputs!$B$9)=2033,Inputs!$B$94,(2053-Inputs!$B$9)=2034,Inputs!$B$95,(2053-Inputs!$B$9)=2035,Inputs!$B$96,(2053-Inputs!$B$9)=2036,Inputs!$B$97,(2053-Inputs!$B$9)=2037,Inputs!$B$98,(2053-Inputs!$B$9)=2038,Inputs!$B$99,(2053-Inputs!$B$9)=2039,Inputs!$B$100,(2053-Inputs!$B$9)=2040,Inputs!$B$101)))</f>
        <v>257.974556933688</v>
      </c>
      <c r="AF26" s="41" t="n">
        <f aca="false">IF((2054-Inputs!$B$9)&lt;2028,0,IF((2054-Inputs!$B$9)&gt;2040,Inputs!$B$101*(1+Inputs!$B$87)^((2054-Inputs!$B$9)-2040),_xlfn.IFS((2054-Inputs!$B$9)=2028,Inputs!$B$89,(2054-Inputs!$B$9)=2029,Inputs!$B$90,(2054-Inputs!$B$9)=2030,Inputs!$B$91,(2054-Inputs!$B$9)=2031,Inputs!$B$92,(2054-Inputs!$B$9)=2032,Inputs!$B$93,(2054-Inputs!$B$9)=2033,Inputs!$B$94,(2054-Inputs!$B$9)=2034,Inputs!$B$95,(2054-Inputs!$B$9)=2035,Inputs!$B$96,(2054-Inputs!$B$9)=2036,Inputs!$B$97,(2054-Inputs!$B$9)=2037,Inputs!$B$98,(2054-Inputs!$B$9)=2038,Inputs!$B$99,(2054-Inputs!$B$9)=2039,Inputs!$B$100,(2054-Inputs!$B$9)=2040,Inputs!$B$101)))</f>
        <v>264.423920857031</v>
      </c>
      <c r="AG26" s="41" t="n">
        <f aca="false">IF((2055-Inputs!$B$9)&lt;2028,0,IF((2055-Inputs!$B$9)&gt;2040,Inputs!$B$101*(1+Inputs!$B$87)^((2055-Inputs!$B$9)-2040),_xlfn.IFS((2055-Inputs!$B$9)=2028,Inputs!$B$89,(2055-Inputs!$B$9)=2029,Inputs!$B$90,(2055-Inputs!$B$9)=2030,Inputs!$B$91,(2055-Inputs!$B$9)=2031,Inputs!$B$92,(2055-Inputs!$B$9)=2032,Inputs!$B$93,(2055-Inputs!$B$9)=2033,Inputs!$B$94,(2055-Inputs!$B$9)=2034,Inputs!$B$95,(2055-Inputs!$B$9)=2035,Inputs!$B$96,(2055-Inputs!$B$9)=2036,Inputs!$B$97,(2055-Inputs!$B$9)=2037,Inputs!$B$98,(2055-Inputs!$B$9)=2038,Inputs!$B$99,(2055-Inputs!$B$9)=2039,Inputs!$B$100,(2055-Inputs!$B$9)=2040,Inputs!$B$101)))</f>
        <v>271.034518878456</v>
      </c>
      <c r="AH26" s="41" t="n">
        <f aca="false">IF((2056-Inputs!$B$9)&lt;2028,0,IF((2056-Inputs!$B$9)&gt;2040,Inputs!$B$101*(1+Inputs!$B$87)^((2056-Inputs!$B$9)-2040),_xlfn.IFS((2056-Inputs!$B$9)=2028,Inputs!$B$89,(2056-Inputs!$B$9)=2029,Inputs!$B$90,(2056-Inputs!$B$9)=2030,Inputs!$B$91,(2056-Inputs!$B$9)=2031,Inputs!$B$92,(2056-Inputs!$B$9)=2032,Inputs!$B$93,(2056-Inputs!$B$9)=2033,Inputs!$B$94,(2056-Inputs!$B$9)=2034,Inputs!$B$95,(2056-Inputs!$B$9)=2035,Inputs!$B$96,(2056-Inputs!$B$9)=2036,Inputs!$B$97,(2056-Inputs!$B$9)=2037,Inputs!$B$98,(2056-Inputs!$B$9)=2038,Inputs!$B$99,(2056-Inputs!$B$9)=2039,Inputs!$B$100,(2056-Inputs!$B$9)=2040,Inputs!$B$101)))</f>
        <v>277.810381850418</v>
      </c>
      <c r="AI26" s="41" t="n">
        <f aca="false">IF((2057-Inputs!$B$9)&lt;2028,0,IF((2057-Inputs!$B$9)&gt;2040,Inputs!$B$101*(1+Inputs!$B$87)^((2057-Inputs!$B$9)-2040),_xlfn.IFS((2057-Inputs!$B$9)=2028,Inputs!$B$89,(2057-Inputs!$B$9)=2029,Inputs!$B$90,(2057-Inputs!$B$9)=2030,Inputs!$B$91,(2057-Inputs!$B$9)=2031,Inputs!$B$92,(2057-Inputs!$B$9)=2032,Inputs!$B$93,(2057-Inputs!$B$9)=2033,Inputs!$B$94,(2057-Inputs!$B$9)=2034,Inputs!$B$95,(2057-Inputs!$B$9)=2035,Inputs!$B$96,(2057-Inputs!$B$9)=2036,Inputs!$B$97,(2057-Inputs!$B$9)=2037,Inputs!$B$98,(2057-Inputs!$B$9)=2038,Inputs!$B$99,(2057-Inputs!$B$9)=2039,Inputs!$B$100,(2057-Inputs!$B$9)=2040,Inputs!$B$101)))</f>
        <v>284.755641396678</v>
      </c>
      <c r="AJ26" s="41" t="n">
        <f aca="false">IF((2058-Inputs!$B$9)&lt;2028,0,IF((2058-Inputs!$B$9)&gt;2040,Inputs!$B$101*(1+Inputs!$B$87)^((2058-Inputs!$B$9)-2040),_xlfn.IFS((2058-Inputs!$B$9)=2028,Inputs!$B$89,(2058-Inputs!$B$9)=2029,Inputs!$B$90,(2058-Inputs!$B$9)=2030,Inputs!$B$91,(2058-Inputs!$B$9)=2031,Inputs!$B$92,(2058-Inputs!$B$9)=2032,Inputs!$B$93,(2058-Inputs!$B$9)=2033,Inputs!$B$94,(2058-Inputs!$B$9)=2034,Inputs!$B$95,(2058-Inputs!$B$9)=2035,Inputs!$B$96,(2058-Inputs!$B$9)=2036,Inputs!$B$97,(2058-Inputs!$B$9)=2037,Inputs!$B$98,(2058-Inputs!$B$9)=2038,Inputs!$B$99,(2058-Inputs!$B$9)=2039,Inputs!$B$100,(2058-Inputs!$B$9)=2040,Inputs!$B$101)))</f>
        <v>291.874532431595</v>
      </c>
      <c r="AK26" s="41" t="n">
        <f aca="false">IF((2059-Inputs!$B$9)&lt;2028,0,IF((2059-Inputs!$B$9)&gt;2040,Inputs!$B$101*(1+Inputs!$B$87)^((2059-Inputs!$B$9)-2040),_xlfn.IFS((2059-Inputs!$B$9)=2028,Inputs!$B$89,(2059-Inputs!$B$9)=2029,Inputs!$B$90,(2059-Inputs!$B$9)=2030,Inputs!$B$91,(2059-Inputs!$B$9)=2031,Inputs!$B$92,(2059-Inputs!$B$9)=2032,Inputs!$B$93,(2059-Inputs!$B$9)=2033,Inputs!$B$94,(2059-Inputs!$B$9)=2034,Inputs!$B$95,(2059-Inputs!$B$9)=2035,Inputs!$B$96,(2059-Inputs!$B$9)=2036,Inputs!$B$97,(2059-Inputs!$B$9)=2037,Inputs!$B$98,(2059-Inputs!$B$9)=2038,Inputs!$B$99,(2059-Inputs!$B$9)=2039,Inputs!$B$100,(2059-Inputs!$B$9)=2040,Inputs!$B$101)))</f>
        <v>299.171395742385</v>
      </c>
      <c r="AL26" s="41" t="n">
        <f aca="false">IF((2060-Inputs!$B$9)&lt;2028,0,IF((2060-Inputs!$B$9)&gt;2040,Inputs!$B$101*(1+Inputs!$B$87)^((2060-Inputs!$B$9)-2040),_xlfn.IFS((2060-Inputs!$B$9)=2028,Inputs!$B$89,(2060-Inputs!$B$9)=2029,Inputs!$B$90,(2060-Inputs!$B$9)=2030,Inputs!$B$91,(2060-Inputs!$B$9)=2031,Inputs!$B$92,(2060-Inputs!$B$9)=2032,Inputs!$B$93,(2060-Inputs!$B$9)=2033,Inputs!$B$94,(2060-Inputs!$B$9)=2034,Inputs!$B$95,(2060-Inputs!$B$9)=2035,Inputs!$B$96,(2060-Inputs!$B$9)=2036,Inputs!$B$97,(2060-Inputs!$B$9)=2037,Inputs!$B$98,(2060-Inputs!$B$9)=2038,Inputs!$B$99,(2060-Inputs!$B$9)=2039,Inputs!$B$100,(2060-Inputs!$B$9)=2040,Inputs!$B$101)))</f>
        <v>306.650680635944</v>
      </c>
      <c r="AM26" s="41" t="n">
        <f aca="false">IF((2061-Inputs!$B$9)&lt;2028,0,IF((2061-Inputs!$B$9)&gt;2040,Inputs!$B$101*(1+Inputs!$B$87)^((2061-Inputs!$B$9)-2040),_xlfn.IFS((2061-Inputs!$B$9)=2028,Inputs!$B$89,(2061-Inputs!$B$9)=2029,Inputs!$B$90,(2061-Inputs!$B$9)=2030,Inputs!$B$91,(2061-Inputs!$B$9)=2031,Inputs!$B$92,(2061-Inputs!$B$9)=2032,Inputs!$B$93,(2061-Inputs!$B$9)=2033,Inputs!$B$94,(2061-Inputs!$B$9)=2034,Inputs!$B$95,(2061-Inputs!$B$9)=2035,Inputs!$B$96,(2061-Inputs!$B$9)=2036,Inputs!$B$97,(2061-Inputs!$B$9)=2037,Inputs!$B$98,(2061-Inputs!$B$9)=2038,Inputs!$B$99,(2061-Inputs!$B$9)=2039,Inputs!$B$100,(2061-Inputs!$B$9)=2040,Inputs!$B$101)))</f>
        <v>314.316947651843</v>
      </c>
      <c r="AN26" s="41" t="n">
        <f aca="false">IF((2062-Inputs!$B$9)&lt;2028,0,IF((2062-Inputs!$B$9)&gt;2040,Inputs!$B$101*(1+Inputs!$B$87)^((2062-Inputs!$B$9)-2040),_xlfn.IFS((2062-Inputs!$B$9)=2028,Inputs!$B$89,(2062-Inputs!$B$9)=2029,Inputs!$B$90,(2062-Inputs!$B$9)=2030,Inputs!$B$91,(2062-Inputs!$B$9)=2031,Inputs!$B$92,(2062-Inputs!$B$9)=2032,Inputs!$B$93,(2062-Inputs!$B$9)=2033,Inputs!$B$94,(2062-Inputs!$B$9)=2034,Inputs!$B$95,(2062-Inputs!$B$9)=2035,Inputs!$B$96,(2062-Inputs!$B$9)=2036,Inputs!$B$97,(2062-Inputs!$B$9)=2037,Inputs!$B$98,(2062-Inputs!$B$9)=2038,Inputs!$B$99,(2062-Inputs!$B$9)=2039,Inputs!$B$100,(2062-Inputs!$B$9)=2040,Inputs!$B$101)))</f>
        <v>322.174871343139</v>
      </c>
      <c r="AO26" s="41" t="n">
        <f aca="false">IF((2063-Inputs!$B$9)&lt;2028,0,IF((2063-Inputs!$B$9)&gt;2040,Inputs!$B$101*(1+Inputs!$B$87)^((2063-Inputs!$B$9)-2040),_xlfn.IFS((2063-Inputs!$B$9)=2028,Inputs!$B$89,(2063-Inputs!$B$9)=2029,Inputs!$B$90,(2063-Inputs!$B$9)=2030,Inputs!$B$91,(2063-Inputs!$B$9)=2031,Inputs!$B$92,(2063-Inputs!$B$9)=2032,Inputs!$B$93,(2063-Inputs!$B$9)=2033,Inputs!$B$94,(2063-Inputs!$B$9)=2034,Inputs!$B$95,(2063-Inputs!$B$9)=2035,Inputs!$B$96,(2063-Inputs!$B$9)=2036,Inputs!$B$97,(2063-Inputs!$B$9)=2037,Inputs!$B$98,(2063-Inputs!$B$9)=2038,Inputs!$B$99,(2063-Inputs!$B$9)=2039,Inputs!$B$100,(2063-Inputs!$B$9)=2040,Inputs!$B$101)))</f>
        <v>330.229243126717</v>
      </c>
      <c r="AP26" s="41" t="n">
        <f aca="false">IF((2064-Inputs!$B$9)&lt;2028,0,IF((2064-Inputs!$B$9)&gt;2040,Inputs!$B$101*(1+Inputs!$B$87)^((2064-Inputs!$B$9)-2040),_xlfn.IFS((2064-Inputs!$B$9)=2028,Inputs!$B$89,(2064-Inputs!$B$9)=2029,Inputs!$B$90,(2064-Inputs!$B$9)=2030,Inputs!$B$91,(2064-Inputs!$B$9)=2031,Inputs!$B$92,(2064-Inputs!$B$9)=2032,Inputs!$B$93,(2064-Inputs!$B$9)=2033,Inputs!$B$94,(2064-Inputs!$B$9)=2034,Inputs!$B$95,(2064-Inputs!$B$9)=2035,Inputs!$B$96,(2064-Inputs!$B$9)=2036,Inputs!$B$97,(2064-Inputs!$B$9)=2037,Inputs!$B$98,(2064-Inputs!$B$9)=2038,Inputs!$B$99,(2064-Inputs!$B$9)=2039,Inputs!$B$100,(2064-Inputs!$B$9)=2040,Inputs!$B$101)))</f>
        <v>338.484974204885</v>
      </c>
      <c r="AQ26" s="41" t="n">
        <f aca="false">IF((2065-Inputs!$B$9)&lt;2028,0,IF((2065-Inputs!$B$9)&gt;2040,Inputs!$B$101*(1+Inputs!$B$87)^((2065-Inputs!$B$9)-2040),_xlfn.IFS((2065-Inputs!$B$9)=2028,Inputs!$B$89,(2065-Inputs!$B$9)=2029,Inputs!$B$90,(2065-Inputs!$B$9)=2030,Inputs!$B$91,(2065-Inputs!$B$9)=2031,Inputs!$B$92,(2065-Inputs!$B$9)=2032,Inputs!$B$93,(2065-Inputs!$B$9)=2033,Inputs!$B$94,(2065-Inputs!$B$9)=2034,Inputs!$B$95,(2065-Inputs!$B$9)=2035,Inputs!$B$96,(2065-Inputs!$B$9)=2036,Inputs!$B$97,(2065-Inputs!$B$9)=2037,Inputs!$B$98,(2065-Inputs!$B$9)=2038,Inputs!$B$99,(2065-Inputs!$B$9)=2039,Inputs!$B$100,(2065-Inputs!$B$9)=2040,Inputs!$B$101)))</f>
        <v>346.947098560008</v>
      </c>
      <c r="AR26" s="41" t="n">
        <f aca="false">IF((2066-Inputs!$B$9)&lt;2028,0,IF((2066-Inputs!$B$9)&gt;2040,Inputs!$B$101*(1+Inputs!$B$87)^((2066-Inputs!$B$9)-2040),_xlfn.IFS((2066-Inputs!$B$9)=2028,Inputs!$B$89,(2066-Inputs!$B$9)=2029,Inputs!$B$90,(2066-Inputs!$B$9)=2030,Inputs!$B$91,(2066-Inputs!$B$9)=2031,Inputs!$B$92,(2066-Inputs!$B$9)=2032,Inputs!$B$93,(2066-Inputs!$B$9)=2033,Inputs!$B$94,(2066-Inputs!$B$9)=2034,Inputs!$B$95,(2066-Inputs!$B$9)=2035,Inputs!$B$96,(2066-Inputs!$B$9)=2036,Inputs!$B$97,(2066-Inputs!$B$9)=2037,Inputs!$B$98,(2066-Inputs!$B$9)=2038,Inputs!$B$99,(2066-Inputs!$B$9)=2039,Inputs!$B$100,(2066-Inputs!$B$9)=2040,Inputs!$B$101)))</f>
        <v>355.620776024008</v>
      </c>
      <c r="AS26" s="41" t="n">
        <f aca="false">IF((2067-Inputs!$B$9)&lt;2028,0,IF((2067-Inputs!$B$9)&gt;2040,Inputs!$B$101*(1+Inputs!$B$87)^((2067-Inputs!$B$9)-2040),_xlfn.IFS((2067-Inputs!$B$9)=2028,Inputs!$B$89,(2067-Inputs!$B$9)=2029,Inputs!$B$90,(2067-Inputs!$B$9)=2030,Inputs!$B$91,(2067-Inputs!$B$9)=2031,Inputs!$B$92,(2067-Inputs!$B$9)=2032,Inputs!$B$93,(2067-Inputs!$B$9)=2033,Inputs!$B$94,(2067-Inputs!$B$9)=2034,Inputs!$B$95,(2067-Inputs!$B$9)=2035,Inputs!$B$96,(2067-Inputs!$B$9)=2036,Inputs!$B$97,(2067-Inputs!$B$9)=2037,Inputs!$B$98,(2067-Inputs!$B$9)=2038,Inputs!$B$99,(2067-Inputs!$B$9)=2039,Inputs!$B$100,(2067-Inputs!$B$9)=2040,Inputs!$B$101)))</f>
        <v>364.511295424608</v>
      </c>
      <c r="AT26" s="41" t="n">
        <f aca="false">IF((2068-Inputs!$B$9)&lt;2028,0,IF((2068-Inputs!$B$9)&gt;2040,Inputs!$B$101*(1+Inputs!$B$87)^((2068-Inputs!$B$9)-2040),_xlfn.IFS((2068-Inputs!$B$9)=2028,Inputs!$B$89,(2068-Inputs!$B$9)=2029,Inputs!$B$90,(2068-Inputs!$B$9)=2030,Inputs!$B$91,(2068-Inputs!$B$9)=2031,Inputs!$B$92,(2068-Inputs!$B$9)=2032,Inputs!$B$93,(2068-Inputs!$B$9)=2033,Inputs!$B$94,(2068-Inputs!$B$9)=2034,Inputs!$B$95,(2068-Inputs!$B$9)=2035,Inputs!$B$96,(2068-Inputs!$B$9)=2036,Inputs!$B$97,(2068-Inputs!$B$9)=2037,Inputs!$B$98,(2068-Inputs!$B$9)=2038,Inputs!$B$99,(2068-Inputs!$B$9)=2039,Inputs!$B$100,(2068-Inputs!$B$9)=2040,Inputs!$B$101)))</f>
        <v>373.624077810223</v>
      </c>
      <c r="AU26" s="41" t="n">
        <f aca="false">IF((2069-Inputs!$B$9)&lt;2028,0,IF((2069-Inputs!$B$9)&gt;2040,Inputs!$B$101*(1+Inputs!$B$87)^((2069-Inputs!$B$9)-2040),_xlfn.IFS((2069-Inputs!$B$9)=2028,Inputs!$B$89,(2069-Inputs!$B$9)=2029,Inputs!$B$90,(2069-Inputs!$B$9)=2030,Inputs!$B$91,(2069-Inputs!$B$9)=2031,Inputs!$B$92,(2069-Inputs!$B$9)=2032,Inputs!$B$93,(2069-Inputs!$B$9)=2033,Inputs!$B$94,(2069-Inputs!$B$9)=2034,Inputs!$B$95,(2069-Inputs!$B$9)=2035,Inputs!$B$96,(2069-Inputs!$B$9)=2036,Inputs!$B$97,(2069-Inputs!$B$9)=2037,Inputs!$B$98,(2069-Inputs!$B$9)=2038,Inputs!$B$99,(2069-Inputs!$B$9)=2039,Inputs!$B$100,(2069-Inputs!$B$9)=2040,Inputs!$B$101)))</f>
        <v>382.964679755478</v>
      </c>
      <c r="AV26" s="41" t="n">
        <f aca="false">IF((2070-Inputs!$B$9)&lt;2028,0,IF((2070-Inputs!$B$9)&gt;2040,Inputs!$B$101*(1+Inputs!$B$87)^((2070-Inputs!$B$9)-2040),_xlfn.IFS((2070-Inputs!$B$9)=2028,Inputs!$B$89,(2070-Inputs!$B$9)=2029,Inputs!$B$90,(2070-Inputs!$B$9)=2030,Inputs!$B$91,(2070-Inputs!$B$9)=2031,Inputs!$B$92,(2070-Inputs!$B$9)=2032,Inputs!$B$93,(2070-Inputs!$B$9)=2033,Inputs!$B$94,(2070-Inputs!$B$9)=2034,Inputs!$B$95,(2070-Inputs!$B$9)=2035,Inputs!$B$96,(2070-Inputs!$B$9)=2036,Inputs!$B$97,(2070-Inputs!$B$9)=2037,Inputs!$B$98,(2070-Inputs!$B$9)=2038,Inputs!$B$99,(2070-Inputs!$B$9)=2039,Inputs!$B$100,(2070-Inputs!$B$9)=2040,Inputs!$B$101)))</f>
        <v>392.538796749365</v>
      </c>
      <c r="AW26" s="41" t="n">
        <f aca="false">IF((2071-Inputs!$B$9)&lt;2028,0,IF((2071-Inputs!$B$9)&gt;2040,Inputs!$B$101*(1+Inputs!$B$87)^((2071-Inputs!$B$9)-2040),_xlfn.IFS((2071-Inputs!$B$9)=2028,Inputs!$B$89,(2071-Inputs!$B$9)=2029,Inputs!$B$90,(2071-Inputs!$B$9)=2030,Inputs!$B$91,(2071-Inputs!$B$9)=2031,Inputs!$B$92,(2071-Inputs!$B$9)=2032,Inputs!$B$93,(2071-Inputs!$B$9)=2033,Inputs!$B$94,(2071-Inputs!$B$9)=2034,Inputs!$B$95,(2071-Inputs!$B$9)=2035,Inputs!$B$96,(2071-Inputs!$B$9)=2036,Inputs!$B$97,(2071-Inputs!$B$9)=2037,Inputs!$B$98,(2071-Inputs!$B$9)=2038,Inputs!$B$99,(2071-Inputs!$B$9)=2039,Inputs!$B$100,(2071-Inputs!$B$9)=2040,Inputs!$B$101)))</f>
        <v>402.3522666681</v>
      </c>
      <c r="AX26" s="41" t="n">
        <f aca="false">IF((2072-Inputs!$B$9)&lt;2028,0,IF((2072-Inputs!$B$9)&gt;2040,Inputs!$B$101*(1+Inputs!$B$87)^((2072-Inputs!$B$9)-2040),_xlfn.IFS((2072-Inputs!$B$9)=2028,Inputs!$B$89,(2072-Inputs!$B$9)=2029,Inputs!$B$90,(2072-Inputs!$B$9)=2030,Inputs!$B$91,(2072-Inputs!$B$9)=2031,Inputs!$B$92,(2072-Inputs!$B$9)=2032,Inputs!$B$93,(2072-Inputs!$B$9)=2033,Inputs!$B$94,(2072-Inputs!$B$9)=2034,Inputs!$B$95,(2072-Inputs!$B$9)=2035,Inputs!$B$96,(2072-Inputs!$B$9)=2036,Inputs!$B$97,(2072-Inputs!$B$9)=2037,Inputs!$B$98,(2072-Inputs!$B$9)=2038,Inputs!$B$99,(2072-Inputs!$B$9)=2039,Inputs!$B$100,(2072-Inputs!$B$9)=2040,Inputs!$B$101)))</f>
        <v>412.411073334802</v>
      </c>
      <c r="AY26" s="41" t="n">
        <f aca="false">IF((2073-Inputs!$B$9)&lt;2028,0,IF((2073-Inputs!$B$9)&gt;2040,Inputs!$B$101*(1+Inputs!$B$87)^((2073-Inputs!$B$9)-2040),_xlfn.IFS((2073-Inputs!$B$9)=2028,Inputs!$B$89,(2073-Inputs!$B$9)=2029,Inputs!$B$90,(2073-Inputs!$B$9)=2030,Inputs!$B$91,(2073-Inputs!$B$9)=2031,Inputs!$B$92,(2073-Inputs!$B$9)=2032,Inputs!$B$93,(2073-Inputs!$B$9)=2033,Inputs!$B$94,(2073-Inputs!$B$9)=2034,Inputs!$B$95,(2073-Inputs!$B$9)=2035,Inputs!$B$96,(2073-Inputs!$B$9)=2036,Inputs!$B$97,(2073-Inputs!$B$9)=2037,Inputs!$B$98,(2073-Inputs!$B$9)=2038,Inputs!$B$99,(2073-Inputs!$B$9)=2039,Inputs!$B$100,(2073-Inputs!$B$9)=2040,Inputs!$B$101)))</f>
        <v>422.721350168172</v>
      </c>
      <c r="AZ26" s="41" t="n">
        <f aca="false">IF((2074-Inputs!$B$9)&lt;2028,0,IF((2074-Inputs!$B$9)&gt;2040,Inputs!$B$101*(1+Inputs!$B$87)^((2074-Inputs!$B$9)-2040),_xlfn.IFS((2074-Inputs!$B$9)=2028,Inputs!$B$89,(2074-Inputs!$B$9)=2029,Inputs!$B$90,(2074-Inputs!$B$9)=2030,Inputs!$B$91,(2074-Inputs!$B$9)=2031,Inputs!$B$92,(2074-Inputs!$B$9)=2032,Inputs!$B$93,(2074-Inputs!$B$9)=2033,Inputs!$B$94,(2074-Inputs!$B$9)=2034,Inputs!$B$95,(2074-Inputs!$B$9)=2035,Inputs!$B$96,(2074-Inputs!$B$9)=2036,Inputs!$B$97,(2074-Inputs!$B$9)=2037,Inputs!$B$98,(2074-Inputs!$B$9)=2038,Inputs!$B$99,(2074-Inputs!$B$9)=2039,Inputs!$B$100,(2074-Inputs!$B$9)=2040,Inputs!$B$101)))</f>
        <v>433.289383922376</v>
      </c>
    </row>
    <row r="27" customFormat="false" ht="15" hidden="false" customHeight="true" outlineLevel="0" collapsed="false">
      <c r="A27" s="13" t="s">
        <v>411</v>
      </c>
      <c r="D27" s="50" t="n">
        <f aca="false">IF((2026-Inputs!$B$9)&lt;2028,0,IF((2026-Inputs!$B$9)&gt;2040,Inputs!$B$114/Inputs!$B$101,_xlfn.IFS((2026-Inputs!$B$9)=2028,Inputs!$B$102/Inputs!$B$89,(2026-Inputs!$B$9)=2029,Inputs!$B$103/Inputs!$B$90,(2026-Inputs!$B$9)=2030,Inputs!$B$104/Inputs!$B$91,(2026-Inputs!$B$9)=2031,Inputs!$B$105/Inputs!$B$92,(2026-Inputs!$B$9)=2032,Inputs!$B$106/Inputs!$B$93,(2026-Inputs!$B$9)=2033,Inputs!$B$107/Inputs!$B$94,(2026-Inputs!$B$9)=2034,Inputs!$B$108/Inputs!$B$95,(2026-Inputs!$B$9)=2035,Inputs!$B$109/Inputs!$B$96,(2026-Inputs!$B$9)=2036,Inputs!$B$110/Inputs!$B$97,(2026-Inputs!$B$9)=2037,Inputs!$B$111/Inputs!$B$98,(2026-Inputs!$B$9)=2038,Inputs!$B$112/Inputs!$B$99,(2026-Inputs!$B$9)=2039,Inputs!$B$113/Inputs!$B$100,(2026-Inputs!$B$9)=2040,Inputs!$B$114/Inputs!$B$101)))</f>
        <v>0</v>
      </c>
      <c r="E27" s="50" t="n">
        <f aca="false">IF((2027-Inputs!$B$9)&lt;2028,0,IF((2027-Inputs!$B$9)&gt;2040,Inputs!$B$114/Inputs!$B$101,_xlfn.IFS((2027-Inputs!$B$9)=2028,Inputs!$B$102/Inputs!$B$89,(2027-Inputs!$B$9)=2029,Inputs!$B$103/Inputs!$B$90,(2027-Inputs!$B$9)=2030,Inputs!$B$104/Inputs!$B$91,(2027-Inputs!$B$9)=2031,Inputs!$B$105/Inputs!$B$92,(2027-Inputs!$B$9)=2032,Inputs!$B$106/Inputs!$B$93,(2027-Inputs!$B$9)=2033,Inputs!$B$107/Inputs!$B$94,(2027-Inputs!$B$9)=2034,Inputs!$B$108/Inputs!$B$95,(2027-Inputs!$B$9)=2035,Inputs!$B$109/Inputs!$B$96,(2027-Inputs!$B$9)=2036,Inputs!$B$110/Inputs!$B$97,(2027-Inputs!$B$9)=2037,Inputs!$B$111/Inputs!$B$98,(2027-Inputs!$B$9)=2038,Inputs!$B$112/Inputs!$B$99,(2027-Inputs!$B$9)=2039,Inputs!$B$113/Inputs!$B$100,(2027-Inputs!$B$9)=2040,Inputs!$B$114/Inputs!$B$101)))</f>
        <v>0</v>
      </c>
      <c r="F27" s="50" t="n">
        <f aca="false">IF((2028-Inputs!$B$9)&lt;2028,0,IF((2028-Inputs!$B$9)&gt;2040,Inputs!$B$114/Inputs!$B$101,_xlfn.IFS((2028-Inputs!$B$9)=2028,Inputs!$B$102/Inputs!$B$89,(2028-Inputs!$B$9)=2029,Inputs!$B$103/Inputs!$B$90,(2028-Inputs!$B$9)=2030,Inputs!$B$104/Inputs!$B$91,(2028-Inputs!$B$9)=2031,Inputs!$B$105/Inputs!$B$92,(2028-Inputs!$B$9)=2032,Inputs!$B$106/Inputs!$B$93,(2028-Inputs!$B$9)=2033,Inputs!$B$107/Inputs!$B$94,(2028-Inputs!$B$9)=2034,Inputs!$B$108/Inputs!$B$95,(2028-Inputs!$B$9)=2035,Inputs!$B$109/Inputs!$B$96,(2028-Inputs!$B$9)=2036,Inputs!$B$110/Inputs!$B$97,(2028-Inputs!$B$9)=2037,Inputs!$B$111/Inputs!$B$98,(2028-Inputs!$B$9)=2038,Inputs!$B$112/Inputs!$B$99,(2028-Inputs!$B$9)=2039,Inputs!$B$113/Inputs!$B$100,(2028-Inputs!$B$9)=2040,Inputs!$B$114/Inputs!$B$101)))</f>
        <v>0.354689057587608</v>
      </c>
      <c r="G27" s="50" t="n">
        <f aca="false">IF((2029-Inputs!$B$9)&lt;2028,0,IF((2029-Inputs!$B$9)&gt;2040,Inputs!$B$114/Inputs!$B$101,_xlfn.IFS((2029-Inputs!$B$9)=2028,Inputs!$B$102/Inputs!$B$89,(2029-Inputs!$B$9)=2029,Inputs!$B$103/Inputs!$B$90,(2029-Inputs!$B$9)=2030,Inputs!$B$104/Inputs!$B$91,(2029-Inputs!$B$9)=2031,Inputs!$B$105/Inputs!$B$92,(2029-Inputs!$B$9)=2032,Inputs!$B$106/Inputs!$B$93,(2029-Inputs!$B$9)=2033,Inputs!$B$107/Inputs!$B$94,(2029-Inputs!$B$9)=2034,Inputs!$B$108/Inputs!$B$95,(2029-Inputs!$B$9)=2035,Inputs!$B$109/Inputs!$B$96,(2029-Inputs!$B$9)=2036,Inputs!$B$110/Inputs!$B$97,(2029-Inputs!$B$9)=2037,Inputs!$B$111/Inputs!$B$98,(2029-Inputs!$B$9)=2038,Inputs!$B$112/Inputs!$B$99,(2029-Inputs!$B$9)=2039,Inputs!$B$113/Inputs!$B$100,(2029-Inputs!$B$9)=2040,Inputs!$B$114/Inputs!$B$101)))</f>
        <v>0.334585003483564</v>
      </c>
      <c r="H27" s="50" t="n">
        <f aca="false">IF((2030-Inputs!$B$9)&lt;2028,0,IF((2030-Inputs!$B$9)&gt;2040,Inputs!$B$114/Inputs!$B$101,_xlfn.IFS((2030-Inputs!$B$9)=2028,Inputs!$B$102/Inputs!$B$89,(2030-Inputs!$B$9)=2029,Inputs!$B$103/Inputs!$B$90,(2030-Inputs!$B$9)=2030,Inputs!$B$104/Inputs!$B$91,(2030-Inputs!$B$9)=2031,Inputs!$B$105/Inputs!$B$92,(2030-Inputs!$B$9)=2032,Inputs!$B$106/Inputs!$B$93,(2030-Inputs!$B$9)=2033,Inputs!$B$107/Inputs!$B$94,(2030-Inputs!$B$9)=2034,Inputs!$B$108/Inputs!$B$95,(2030-Inputs!$B$9)=2035,Inputs!$B$109/Inputs!$B$96,(2030-Inputs!$B$9)=2036,Inputs!$B$110/Inputs!$B$97,(2030-Inputs!$B$9)=2037,Inputs!$B$111/Inputs!$B$98,(2030-Inputs!$B$9)=2038,Inputs!$B$112/Inputs!$B$99,(2030-Inputs!$B$9)=2039,Inputs!$B$113/Inputs!$B$100,(2030-Inputs!$B$9)=2040,Inputs!$B$114/Inputs!$B$101)))</f>
        <v>0.34294716011665</v>
      </c>
      <c r="I27" s="50" t="n">
        <f aca="false">IF((2031-Inputs!$B$9)&lt;2028,0,IF((2031-Inputs!$B$9)&gt;2040,Inputs!$B$114/Inputs!$B$101,_xlfn.IFS((2031-Inputs!$B$9)=2028,Inputs!$B$102/Inputs!$B$89,(2031-Inputs!$B$9)=2029,Inputs!$B$103/Inputs!$B$90,(2031-Inputs!$B$9)=2030,Inputs!$B$104/Inputs!$B$91,(2031-Inputs!$B$9)=2031,Inputs!$B$105/Inputs!$B$92,(2031-Inputs!$B$9)=2032,Inputs!$B$106/Inputs!$B$93,(2031-Inputs!$B$9)=2033,Inputs!$B$107/Inputs!$B$94,(2031-Inputs!$B$9)=2034,Inputs!$B$108/Inputs!$B$95,(2031-Inputs!$B$9)=2035,Inputs!$B$109/Inputs!$B$96,(2031-Inputs!$B$9)=2036,Inputs!$B$110/Inputs!$B$97,(2031-Inputs!$B$9)=2037,Inputs!$B$111/Inputs!$B$98,(2031-Inputs!$B$9)=2038,Inputs!$B$112/Inputs!$B$99,(2031-Inputs!$B$9)=2039,Inputs!$B$113/Inputs!$B$100,(2031-Inputs!$B$9)=2040,Inputs!$B$114/Inputs!$B$101)))</f>
        <v>0.347394499265169</v>
      </c>
      <c r="J27" s="50" t="n">
        <f aca="false">IF((2032-Inputs!$B$9)&lt;2028,0,IF((2032-Inputs!$B$9)&gt;2040,Inputs!$B$114/Inputs!$B$101,_xlfn.IFS((2032-Inputs!$B$9)=2028,Inputs!$B$102/Inputs!$B$89,(2032-Inputs!$B$9)=2029,Inputs!$B$103/Inputs!$B$90,(2032-Inputs!$B$9)=2030,Inputs!$B$104/Inputs!$B$91,(2032-Inputs!$B$9)=2031,Inputs!$B$105/Inputs!$B$92,(2032-Inputs!$B$9)=2032,Inputs!$B$106/Inputs!$B$93,(2032-Inputs!$B$9)=2033,Inputs!$B$107/Inputs!$B$94,(2032-Inputs!$B$9)=2034,Inputs!$B$108/Inputs!$B$95,(2032-Inputs!$B$9)=2035,Inputs!$B$109/Inputs!$B$96,(2032-Inputs!$B$9)=2036,Inputs!$B$110/Inputs!$B$97,(2032-Inputs!$B$9)=2037,Inputs!$B$111/Inputs!$B$98,(2032-Inputs!$B$9)=2038,Inputs!$B$112/Inputs!$B$99,(2032-Inputs!$B$9)=2039,Inputs!$B$113/Inputs!$B$100,(2032-Inputs!$B$9)=2040,Inputs!$B$114/Inputs!$B$101)))</f>
        <v>0.359006556725611</v>
      </c>
      <c r="K27" s="50" t="n">
        <f aca="false">IF((2033-Inputs!$B$9)&lt;2028,0,IF((2033-Inputs!$B$9)&gt;2040,Inputs!$B$114/Inputs!$B$101,_xlfn.IFS((2033-Inputs!$B$9)=2028,Inputs!$B$102/Inputs!$B$89,(2033-Inputs!$B$9)=2029,Inputs!$B$103/Inputs!$B$90,(2033-Inputs!$B$9)=2030,Inputs!$B$104/Inputs!$B$91,(2033-Inputs!$B$9)=2031,Inputs!$B$105/Inputs!$B$92,(2033-Inputs!$B$9)=2032,Inputs!$B$106/Inputs!$B$93,(2033-Inputs!$B$9)=2033,Inputs!$B$107/Inputs!$B$94,(2033-Inputs!$B$9)=2034,Inputs!$B$108/Inputs!$B$95,(2033-Inputs!$B$9)=2035,Inputs!$B$109/Inputs!$B$96,(2033-Inputs!$B$9)=2036,Inputs!$B$110/Inputs!$B$97,(2033-Inputs!$B$9)=2037,Inputs!$B$111/Inputs!$B$98,(2033-Inputs!$B$9)=2038,Inputs!$B$112/Inputs!$B$99,(2033-Inputs!$B$9)=2039,Inputs!$B$113/Inputs!$B$100,(2033-Inputs!$B$9)=2040,Inputs!$B$114/Inputs!$B$101)))</f>
        <v>0.370566441254876</v>
      </c>
      <c r="L27" s="50" t="n">
        <f aca="false">IF((2034-Inputs!$B$9)&lt;2028,0,IF((2034-Inputs!$B$9)&gt;2040,Inputs!$B$114/Inputs!$B$101,_xlfn.IFS((2034-Inputs!$B$9)=2028,Inputs!$B$102/Inputs!$B$89,(2034-Inputs!$B$9)=2029,Inputs!$B$103/Inputs!$B$90,(2034-Inputs!$B$9)=2030,Inputs!$B$104/Inputs!$B$91,(2034-Inputs!$B$9)=2031,Inputs!$B$105/Inputs!$B$92,(2034-Inputs!$B$9)=2032,Inputs!$B$106/Inputs!$B$93,(2034-Inputs!$B$9)=2033,Inputs!$B$107/Inputs!$B$94,(2034-Inputs!$B$9)=2034,Inputs!$B$108/Inputs!$B$95,(2034-Inputs!$B$9)=2035,Inputs!$B$109/Inputs!$B$96,(2034-Inputs!$B$9)=2036,Inputs!$B$110/Inputs!$B$97,(2034-Inputs!$B$9)=2037,Inputs!$B$111/Inputs!$B$98,(2034-Inputs!$B$9)=2038,Inputs!$B$112/Inputs!$B$99,(2034-Inputs!$B$9)=2039,Inputs!$B$113/Inputs!$B$100,(2034-Inputs!$B$9)=2040,Inputs!$B$114/Inputs!$B$101)))</f>
        <v>0.382769746848038</v>
      </c>
      <c r="M27" s="50" t="n">
        <f aca="false">IF((2035-Inputs!$B$9)&lt;2028,0,IF((2035-Inputs!$B$9)&gt;2040,Inputs!$B$114/Inputs!$B$101,_xlfn.IFS((2035-Inputs!$B$9)=2028,Inputs!$B$102/Inputs!$B$89,(2035-Inputs!$B$9)=2029,Inputs!$B$103/Inputs!$B$90,(2035-Inputs!$B$9)=2030,Inputs!$B$104/Inputs!$B$91,(2035-Inputs!$B$9)=2031,Inputs!$B$105/Inputs!$B$92,(2035-Inputs!$B$9)=2032,Inputs!$B$106/Inputs!$B$93,(2035-Inputs!$B$9)=2033,Inputs!$B$107/Inputs!$B$94,(2035-Inputs!$B$9)=2034,Inputs!$B$108/Inputs!$B$95,(2035-Inputs!$B$9)=2035,Inputs!$B$109/Inputs!$B$96,(2035-Inputs!$B$9)=2036,Inputs!$B$110/Inputs!$B$97,(2035-Inputs!$B$9)=2037,Inputs!$B$111/Inputs!$B$98,(2035-Inputs!$B$9)=2038,Inputs!$B$112/Inputs!$B$99,(2035-Inputs!$B$9)=2039,Inputs!$B$113/Inputs!$B$100,(2035-Inputs!$B$9)=2040,Inputs!$B$114/Inputs!$B$101)))</f>
        <v>0.395011523207203</v>
      </c>
      <c r="N27" s="50" t="n">
        <f aca="false">IF((2036-Inputs!$B$9)&lt;2028,0,IF((2036-Inputs!$B$9)&gt;2040,Inputs!$B$114/Inputs!$B$101,_xlfn.IFS((2036-Inputs!$B$9)=2028,Inputs!$B$102/Inputs!$B$89,(2036-Inputs!$B$9)=2029,Inputs!$B$103/Inputs!$B$90,(2036-Inputs!$B$9)=2030,Inputs!$B$104/Inputs!$B$91,(2036-Inputs!$B$9)=2031,Inputs!$B$105/Inputs!$B$92,(2036-Inputs!$B$9)=2032,Inputs!$B$106/Inputs!$B$93,(2036-Inputs!$B$9)=2033,Inputs!$B$107/Inputs!$B$94,(2036-Inputs!$B$9)=2034,Inputs!$B$108/Inputs!$B$95,(2036-Inputs!$B$9)=2035,Inputs!$B$109/Inputs!$B$96,(2036-Inputs!$B$9)=2036,Inputs!$B$110/Inputs!$B$97,(2036-Inputs!$B$9)=2037,Inputs!$B$111/Inputs!$B$98,(2036-Inputs!$B$9)=2038,Inputs!$B$112/Inputs!$B$99,(2036-Inputs!$B$9)=2039,Inputs!$B$113/Inputs!$B$100,(2036-Inputs!$B$9)=2040,Inputs!$B$114/Inputs!$B$101)))</f>
        <v>0.403922320173758</v>
      </c>
      <c r="O27" s="50" t="n">
        <f aca="false">IF((2037-Inputs!$B$9)&lt;2028,0,IF((2037-Inputs!$B$9)&gt;2040,Inputs!$B$114/Inputs!$B$101,_xlfn.IFS((2037-Inputs!$B$9)=2028,Inputs!$B$102/Inputs!$B$89,(2037-Inputs!$B$9)=2029,Inputs!$B$103/Inputs!$B$90,(2037-Inputs!$B$9)=2030,Inputs!$B$104/Inputs!$B$91,(2037-Inputs!$B$9)=2031,Inputs!$B$105/Inputs!$B$92,(2037-Inputs!$B$9)=2032,Inputs!$B$106/Inputs!$B$93,(2037-Inputs!$B$9)=2033,Inputs!$B$107/Inputs!$B$94,(2037-Inputs!$B$9)=2034,Inputs!$B$108/Inputs!$B$95,(2037-Inputs!$B$9)=2035,Inputs!$B$109/Inputs!$B$96,(2037-Inputs!$B$9)=2036,Inputs!$B$110/Inputs!$B$97,(2037-Inputs!$B$9)=2037,Inputs!$B$111/Inputs!$B$98,(2037-Inputs!$B$9)=2038,Inputs!$B$112/Inputs!$B$99,(2037-Inputs!$B$9)=2039,Inputs!$B$113/Inputs!$B$100,(2037-Inputs!$B$9)=2040,Inputs!$B$114/Inputs!$B$101)))</f>
        <v>0.411597741492446</v>
      </c>
      <c r="P27" s="50" t="n">
        <f aca="false">IF((2038-Inputs!$B$9)&lt;2028,0,IF((2038-Inputs!$B$9)&gt;2040,Inputs!$B$114/Inputs!$B$101,_xlfn.IFS((2038-Inputs!$B$9)=2028,Inputs!$B$102/Inputs!$B$89,(2038-Inputs!$B$9)=2029,Inputs!$B$103/Inputs!$B$90,(2038-Inputs!$B$9)=2030,Inputs!$B$104/Inputs!$B$91,(2038-Inputs!$B$9)=2031,Inputs!$B$105/Inputs!$B$92,(2038-Inputs!$B$9)=2032,Inputs!$B$106/Inputs!$B$93,(2038-Inputs!$B$9)=2033,Inputs!$B$107/Inputs!$B$94,(2038-Inputs!$B$9)=2034,Inputs!$B$108/Inputs!$B$95,(2038-Inputs!$B$9)=2035,Inputs!$B$109/Inputs!$B$96,(2038-Inputs!$B$9)=2036,Inputs!$B$110/Inputs!$B$97,(2038-Inputs!$B$9)=2037,Inputs!$B$111/Inputs!$B$98,(2038-Inputs!$B$9)=2038,Inputs!$B$112/Inputs!$B$99,(2038-Inputs!$B$9)=2039,Inputs!$B$113/Inputs!$B$100,(2038-Inputs!$B$9)=2040,Inputs!$B$114/Inputs!$B$101)))</f>
        <v>0.418470477515447</v>
      </c>
      <c r="Q27" s="50" t="n">
        <f aca="false">IF((2039-Inputs!$B$9)&lt;2028,0,IF((2039-Inputs!$B$9)&gt;2040,Inputs!$B$114/Inputs!$B$101,_xlfn.IFS((2039-Inputs!$B$9)=2028,Inputs!$B$102/Inputs!$B$89,(2039-Inputs!$B$9)=2029,Inputs!$B$103/Inputs!$B$90,(2039-Inputs!$B$9)=2030,Inputs!$B$104/Inputs!$B$91,(2039-Inputs!$B$9)=2031,Inputs!$B$105/Inputs!$B$92,(2039-Inputs!$B$9)=2032,Inputs!$B$106/Inputs!$B$93,(2039-Inputs!$B$9)=2033,Inputs!$B$107/Inputs!$B$94,(2039-Inputs!$B$9)=2034,Inputs!$B$108/Inputs!$B$95,(2039-Inputs!$B$9)=2035,Inputs!$B$109/Inputs!$B$96,(2039-Inputs!$B$9)=2036,Inputs!$B$110/Inputs!$B$97,(2039-Inputs!$B$9)=2037,Inputs!$B$111/Inputs!$B$98,(2039-Inputs!$B$9)=2038,Inputs!$B$112/Inputs!$B$99,(2039-Inputs!$B$9)=2039,Inputs!$B$113/Inputs!$B$100,(2039-Inputs!$B$9)=2040,Inputs!$B$114/Inputs!$B$101)))</f>
        <v>0.42541927549195</v>
      </c>
      <c r="R27" s="50" t="n">
        <f aca="false">IF((2040-Inputs!$B$9)&lt;2028,0,IF((2040-Inputs!$B$9)&gt;2040,Inputs!$B$114/Inputs!$B$101,_xlfn.IFS((2040-Inputs!$B$9)=2028,Inputs!$B$102/Inputs!$B$89,(2040-Inputs!$B$9)=2029,Inputs!$B$103/Inputs!$B$90,(2040-Inputs!$B$9)=2030,Inputs!$B$104/Inputs!$B$91,(2040-Inputs!$B$9)=2031,Inputs!$B$105/Inputs!$B$92,(2040-Inputs!$B$9)=2032,Inputs!$B$106/Inputs!$B$93,(2040-Inputs!$B$9)=2033,Inputs!$B$107/Inputs!$B$94,(2040-Inputs!$B$9)=2034,Inputs!$B$108/Inputs!$B$95,(2040-Inputs!$B$9)=2035,Inputs!$B$109/Inputs!$B$96,(2040-Inputs!$B$9)=2036,Inputs!$B$110/Inputs!$B$97,(2040-Inputs!$B$9)=2037,Inputs!$B$111/Inputs!$B$98,(2040-Inputs!$B$9)=2038,Inputs!$B$112/Inputs!$B$99,(2040-Inputs!$B$9)=2039,Inputs!$B$113/Inputs!$B$100,(2040-Inputs!$B$9)=2040,Inputs!$B$114/Inputs!$B$101)))</f>
        <v>0.432371486587582</v>
      </c>
      <c r="S27" s="50" t="n">
        <f aca="false">IF((2041-Inputs!$B$9)&lt;2028,0,IF((2041-Inputs!$B$9)&gt;2040,Inputs!$B$114/Inputs!$B$101,_xlfn.IFS((2041-Inputs!$B$9)=2028,Inputs!$B$102/Inputs!$B$89,(2041-Inputs!$B$9)=2029,Inputs!$B$103/Inputs!$B$90,(2041-Inputs!$B$9)=2030,Inputs!$B$104/Inputs!$B$91,(2041-Inputs!$B$9)=2031,Inputs!$B$105/Inputs!$B$92,(2041-Inputs!$B$9)=2032,Inputs!$B$106/Inputs!$B$93,(2041-Inputs!$B$9)=2033,Inputs!$B$107/Inputs!$B$94,(2041-Inputs!$B$9)=2034,Inputs!$B$108/Inputs!$B$95,(2041-Inputs!$B$9)=2035,Inputs!$B$109/Inputs!$B$96,(2041-Inputs!$B$9)=2036,Inputs!$B$110/Inputs!$B$97,(2041-Inputs!$B$9)=2037,Inputs!$B$111/Inputs!$B$98,(2041-Inputs!$B$9)=2038,Inputs!$B$112/Inputs!$B$99,(2041-Inputs!$B$9)=2039,Inputs!$B$113/Inputs!$B$100,(2041-Inputs!$B$9)=2040,Inputs!$B$114/Inputs!$B$101)))</f>
        <v>0.432371486587582</v>
      </c>
      <c r="T27" s="50" t="n">
        <f aca="false">IF((2042-Inputs!$B$9)&lt;2028,0,IF((2042-Inputs!$B$9)&gt;2040,Inputs!$B$114/Inputs!$B$101,_xlfn.IFS((2042-Inputs!$B$9)=2028,Inputs!$B$102/Inputs!$B$89,(2042-Inputs!$B$9)=2029,Inputs!$B$103/Inputs!$B$90,(2042-Inputs!$B$9)=2030,Inputs!$B$104/Inputs!$B$91,(2042-Inputs!$B$9)=2031,Inputs!$B$105/Inputs!$B$92,(2042-Inputs!$B$9)=2032,Inputs!$B$106/Inputs!$B$93,(2042-Inputs!$B$9)=2033,Inputs!$B$107/Inputs!$B$94,(2042-Inputs!$B$9)=2034,Inputs!$B$108/Inputs!$B$95,(2042-Inputs!$B$9)=2035,Inputs!$B$109/Inputs!$B$96,(2042-Inputs!$B$9)=2036,Inputs!$B$110/Inputs!$B$97,(2042-Inputs!$B$9)=2037,Inputs!$B$111/Inputs!$B$98,(2042-Inputs!$B$9)=2038,Inputs!$B$112/Inputs!$B$99,(2042-Inputs!$B$9)=2039,Inputs!$B$113/Inputs!$B$100,(2042-Inputs!$B$9)=2040,Inputs!$B$114/Inputs!$B$101)))</f>
        <v>0.432371486587582</v>
      </c>
      <c r="U27" s="50" t="n">
        <f aca="false">IF((2043-Inputs!$B$9)&lt;2028,0,IF((2043-Inputs!$B$9)&gt;2040,Inputs!$B$114/Inputs!$B$101,_xlfn.IFS((2043-Inputs!$B$9)=2028,Inputs!$B$102/Inputs!$B$89,(2043-Inputs!$B$9)=2029,Inputs!$B$103/Inputs!$B$90,(2043-Inputs!$B$9)=2030,Inputs!$B$104/Inputs!$B$91,(2043-Inputs!$B$9)=2031,Inputs!$B$105/Inputs!$B$92,(2043-Inputs!$B$9)=2032,Inputs!$B$106/Inputs!$B$93,(2043-Inputs!$B$9)=2033,Inputs!$B$107/Inputs!$B$94,(2043-Inputs!$B$9)=2034,Inputs!$B$108/Inputs!$B$95,(2043-Inputs!$B$9)=2035,Inputs!$B$109/Inputs!$B$96,(2043-Inputs!$B$9)=2036,Inputs!$B$110/Inputs!$B$97,(2043-Inputs!$B$9)=2037,Inputs!$B$111/Inputs!$B$98,(2043-Inputs!$B$9)=2038,Inputs!$B$112/Inputs!$B$99,(2043-Inputs!$B$9)=2039,Inputs!$B$113/Inputs!$B$100,(2043-Inputs!$B$9)=2040,Inputs!$B$114/Inputs!$B$101)))</f>
        <v>0.432371486587582</v>
      </c>
      <c r="V27" s="50" t="n">
        <f aca="false">IF((2044-Inputs!$B$9)&lt;2028,0,IF((2044-Inputs!$B$9)&gt;2040,Inputs!$B$114/Inputs!$B$101,_xlfn.IFS((2044-Inputs!$B$9)=2028,Inputs!$B$102/Inputs!$B$89,(2044-Inputs!$B$9)=2029,Inputs!$B$103/Inputs!$B$90,(2044-Inputs!$B$9)=2030,Inputs!$B$104/Inputs!$B$91,(2044-Inputs!$B$9)=2031,Inputs!$B$105/Inputs!$B$92,(2044-Inputs!$B$9)=2032,Inputs!$B$106/Inputs!$B$93,(2044-Inputs!$B$9)=2033,Inputs!$B$107/Inputs!$B$94,(2044-Inputs!$B$9)=2034,Inputs!$B$108/Inputs!$B$95,(2044-Inputs!$B$9)=2035,Inputs!$B$109/Inputs!$B$96,(2044-Inputs!$B$9)=2036,Inputs!$B$110/Inputs!$B$97,(2044-Inputs!$B$9)=2037,Inputs!$B$111/Inputs!$B$98,(2044-Inputs!$B$9)=2038,Inputs!$B$112/Inputs!$B$99,(2044-Inputs!$B$9)=2039,Inputs!$B$113/Inputs!$B$100,(2044-Inputs!$B$9)=2040,Inputs!$B$114/Inputs!$B$101)))</f>
        <v>0.432371486587582</v>
      </c>
      <c r="W27" s="50" t="n">
        <f aca="false">IF((2045-Inputs!$B$9)&lt;2028,0,IF((2045-Inputs!$B$9)&gt;2040,Inputs!$B$114/Inputs!$B$101,_xlfn.IFS((2045-Inputs!$B$9)=2028,Inputs!$B$102/Inputs!$B$89,(2045-Inputs!$B$9)=2029,Inputs!$B$103/Inputs!$B$90,(2045-Inputs!$B$9)=2030,Inputs!$B$104/Inputs!$B$91,(2045-Inputs!$B$9)=2031,Inputs!$B$105/Inputs!$B$92,(2045-Inputs!$B$9)=2032,Inputs!$B$106/Inputs!$B$93,(2045-Inputs!$B$9)=2033,Inputs!$B$107/Inputs!$B$94,(2045-Inputs!$B$9)=2034,Inputs!$B$108/Inputs!$B$95,(2045-Inputs!$B$9)=2035,Inputs!$B$109/Inputs!$B$96,(2045-Inputs!$B$9)=2036,Inputs!$B$110/Inputs!$B$97,(2045-Inputs!$B$9)=2037,Inputs!$B$111/Inputs!$B$98,(2045-Inputs!$B$9)=2038,Inputs!$B$112/Inputs!$B$99,(2045-Inputs!$B$9)=2039,Inputs!$B$113/Inputs!$B$100,(2045-Inputs!$B$9)=2040,Inputs!$B$114/Inputs!$B$101)))</f>
        <v>0.432371486587582</v>
      </c>
      <c r="X27" s="50" t="n">
        <f aca="false">IF((2046-Inputs!$B$9)&lt;2028,0,IF((2046-Inputs!$B$9)&gt;2040,Inputs!$B$114/Inputs!$B$101,_xlfn.IFS((2046-Inputs!$B$9)=2028,Inputs!$B$102/Inputs!$B$89,(2046-Inputs!$B$9)=2029,Inputs!$B$103/Inputs!$B$90,(2046-Inputs!$B$9)=2030,Inputs!$B$104/Inputs!$B$91,(2046-Inputs!$B$9)=2031,Inputs!$B$105/Inputs!$B$92,(2046-Inputs!$B$9)=2032,Inputs!$B$106/Inputs!$B$93,(2046-Inputs!$B$9)=2033,Inputs!$B$107/Inputs!$B$94,(2046-Inputs!$B$9)=2034,Inputs!$B$108/Inputs!$B$95,(2046-Inputs!$B$9)=2035,Inputs!$B$109/Inputs!$B$96,(2046-Inputs!$B$9)=2036,Inputs!$B$110/Inputs!$B$97,(2046-Inputs!$B$9)=2037,Inputs!$B$111/Inputs!$B$98,(2046-Inputs!$B$9)=2038,Inputs!$B$112/Inputs!$B$99,(2046-Inputs!$B$9)=2039,Inputs!$B$113/Inputs!$B$100,(2046-Inputs!$B$9)=2040,Inputs!$B$114/Inputs!$B$101)))</f>
        <v>0.432371486587582</v>
      </c>
      <c r="Y27" s="50" t="n">
        <f aca="false">IF((2047-Inputs!$B$9)&lt;2028,0,IF((2047-Inputs!$B$9)&gt;2040,Inputs!$B$114/Inputs!$B$101,_xlfn.IFS((2047-Inputs!$B$9)=2028,Inputs!$B$102/Inputs!$B$89,(2047-Inputs!$B$9)=2029,Inputs!$B$103/Inputs!$B$90,(2047-Inputs!$B$9)=2030,Inputs!$B$104/Inputs!$B$91,(2047-Inputs!$B$9)=2031,Inputs!$B$105/Inputs!$B$92,(2047-Inputs!$B$9)=2032,Inputs!$B$106/Inputs!$B$93,(2047-Inputs!$B$9)=2033,Inputs!$B$107/Inputs!$B$94,(2047-Inputs!$B$9)=2034,Inputs!$B$108/Inputs!$B$95,(2047-Inputs!$B$9)=2035,Inputs!$B$109/Inputs!$B$96,(2047-Inputs!$B$9)=2036,Inputs!$B$110/Inputs!$B$97,(2047-Inputs!$B$9)=2037,Inputs!$B$111/Inputs!$B$98,(2047-Inputs!$B$9)=2038,Inputs!$B$112/Inputs!$B$99,(2047-Inputs!$B$9)=2039,Inputs!$B$113/Inputs!$B$100,(2047-Inputs!$B$9)=2040,Inputs!$B$114/Inputs!$B$101)))</f>
        <v>0.432371486587582</v>
      </c>
      <c r="Z27" s="50" t="n">
        <f aca="false">IF((2048-Inputs!$B$9)&lt;2028,0,IF((2048-Inputs!$B$9)&gt;2040,Inputs!$B$114/Inputs!$B$101,_xlfn.IFS((2048-Inputs!$B$9)=2028,Inputs!$B$102/Inputs!$B$89,(2048-Inputs!$B$9)=2029,Inputs!$B$103/Inputs!$B$90,(2048-Inputs!$B$9)=2030,Inputs!$B$104/Inputs!$B$91,(2048-Inputs!$B$9)=2031,Inputs!$B$105/Inputs!$B$92,(2048-Inputs!$B$9)=2032,Inputs!$B$106/Inputs!$B$93,(2048-Inputs!$B$9)=2033,Inputs!$B$107/Inputs!$B$94,(2048-Inputs!$B$9)=2034,Inputs!$B$108/Inputs!$B$95,(2048-Inputs!$B$9)=2035,Inputs!$B$109/Inputs!$B$96,(2048-Inputs!$B$9)=2036,Inputs!$B$110/Inputs!$B$97,(2048-Inputs!$B$9)=2037,Inputs!$B$111/Inputs!$B$98,(2048-Inputs!$B$9)=2038,Inputs!$B$112/Inputs!$B$99,(2048-Inputs!$B$9)=2039,Inputs!$B$113/Inputs!$B$100,(2048-Inputs!$B$9)=2040,Inputs!$B$114/Inputs!$B$101)))</f>
        <v>0.432371486587582</v>
      </c>
      <c r="AA27" s="50" t="n">
        <f aca="false">IF((2049-Inputs!$B$9)&lt;2028,0,IF((2049-Inputs!$B$9)&gt;2040,Inputs!$B$114/Inputs!$B$101,_xlfn.IFS((2049-Inputs!$B$9)=2028,Inputs!$B$102/Inputs!$B$89,(2049-Inputs!$B$9)=2029,Inputs!$B$103/Inputs!$B$90,(2049-Inputs!$B$9)=2030,Inputs!$B$104/Inputs!$B$91,(2049-Inputs!$B$9)=2031,Inputs!$B$105/Inputs!$B$92,(2049-Inputs!$B$9)=2032,Inputs!$B$106/Inputs!$B$93,(2049-Inputs!$B$9)=2033,Inputs!$B$107/Inputs!$B$94,(2049-Inputs!$B$9)=2034,Inputs!$B$108/Inputs!$B$95,(2049-Inputs!$B$9)=2035,Inputs!$B$109/Inputs!$B$96,(2049-Inputs!$B$9)=2036,Inputs!$B$110/Inputs!$B$97,(2049-Inputs!$B$9)=2037,Inputs!$B$111/Inputs!$B$98,(2049-Inputs!$B$9)=2038,Inputs!$B$112/Inputs!$B$99,(2049-Inputs!$B$9)=2039,Inputs!$B$113/Inputs!$B$100,(2049-Inputs!$B$9)=2040,Inputs!$B$114/Inputs!$B$101)))</f>
        <v>0.432371486587582</v>
      </c>
      <c r="AB27" s="50" t="n">
        <f aca="false">IF((2050-Inputs!$B$9)&lt;2028,0,IF((2050-Inputs!$B$9)&gt;2040,Inputs!$B$114/Inputs!$B$101,_xlfn.IFS((2050-Inputs!$B$9)=2028,Inputs!$B$102/Inputs!$B$89,(2050-Inputs!$B$9)=2029,Inputs!$B$103/Inputs!$B$90,(2050-Inputs!$B$9)=2030,Inputs!$B$104/Inputs!$B$91,(2050-Inputs!$B$9)=2031,Inputs!$B$105/Inputs!$B$92,(2050-Inputs!$B$9)=2032,Inputs!$B$106/Inputs!$B$93,(2050-Inputs!$B$9)=2033,Inputs!$B$107/Inputs!$B$94,(2050-Inputs!$B$9)=2034,Inputs!$B$108/Inputs!$B$95,(2050-Inputs!$B$9)=2035,Inputs!$B$109/Inputs!$B$96,(2050-Inputs!$B$9)=2036,Inputs!$B$110/Inputs!$B$97,(2050-Inputs!$B$9)=2037,Inputs!$B$111/Inputs!$B$98,(2050-Inputs!$B$9)=2038,Inputs!$B$112/Inputs!$B$99,(2050-Inputs!$B$9)=2039,Inputs!$B$113/Inputs!$B$100,(2050-Inputs!$B$9)=2040,Inputs!$B$114/Inputs!$B$101)))</f>
        <v>0.432371486587582</v>
      </c>
      <c r="AC27" s="50" t="n">
        <f aca="false">IF((2051-Inputs!$B$9)&lt;2028,0,IF((2051-Inputs!$B$9)&gt;2040,Inputs!$B$114/Inputs!$B$101,_xlfn.IFS((2051-Inputs!$B$9)=2028,Inputs!$B$102/Inputs!$B$89,(2051-Inputs!$B$9)=2029,Inputs!$B$103/Inputs!$B$90,(2051-Inputs!$B$9)=2030,Inputs!$B$104/Inputs!$B$91,(2051-Inputs!$B$9)=2031,Inputs!$B$105/Inputs!$B$92,(2051-Inputs!$B$9)=2032,Inputs!$B$106/Inputs!$B$93,(2051-Inputs!$B$9)=2033,Inputs!$B$107/Inputs!$B$94,(2051-Inputs!$B$9)=2034,Inputs!$B$108/Inputs!$B$95,(2051-Inputs!$B$9)=2035,Inputs!$B$109/Inputs!$B$96,(2051-Inputs!$B$9)=2036,Inputs!$B$110/Inputs!$B$97,(2051-Inputs!$B$9)=2037,Inputs!$B$111/Inputs!$B$98,(2051-Inputs!$B$9)=2038,Inputs!$B$112/Inputs!$B$99,(2051-Inputs!$B$9)=2039,Inputs!$B$113/Inputs!$B$100,(2051-Inputs!$B$9)=2040,Inputs!$B$114/Inputs!$B$101)))</f>
        <v>0.432371486587582</v>
      </c>
      <c r="AD27" s="50" t="n">
        <f aca="false">IF((2052-Inputs!$B$9)&lt;2028,0,IF((2052-Inputs!$B$9)&gt;2040,Inputs!$B$114/Inputs!$B$101,_xlfn.IFS((2052-Inputs!$B$9)=2028,Inputs!$B$102/Inputs!$B$89,(2052-Inputs!$B$9)=2029,Inputs!$B$103/Inputs!$B$90,(2052-Inputs!$B$9)=2030,Inputs!$B$104/Inputs!$B$91,(2052-Inputs!$B$9)=2031,Inputs!$B$105/Inputs!$B$92,(2052-Inputs!$B$9)=2032,Inputs!$B$106/Inputs!$B$93,(2052-Inputs!$B$9)=2033,Inputs!$B$107/Inputs!$B$94,(2052-Inputs!$B$9)=2034,Inputs!$B$108/Inputs!$B$95,(2052-Inputs!$B$9)=2035,Inputs!$B$109/Inputs!$B$96,(2052-Inputs!$B$9)=2036,Inputs!$B$110/Inputs!$B$97,(2052-Inputs!$B$9)=2037,Inputs!$B$111/Inputs!$B$98,(2052-Inputs!$B$9)=2038,Inputs!$B$112/Inputs!$B$99,(2052-Inputs!$B$9)=2039,Inputs!$B$113/Inputs!$B$100,(2052-Inputs!$B$9)=2040,Inputs!$B$114/Inputs!$B$101)))</f>
        <v>0.432371486587582</v>
      </c>
      <c r="AE27" s="50" t="n">
        <f aca="false">IF((2053-Inputs!$B$9)&lt;2028,0,IF((2053-Inputs!$B$9)&gt;2040,Inputs!$B$114/Inputs!$B$101,_xlfn.IFS((2053-Inputs!$B$9)=2028,Inputs!$B$102/Inputs!$B$89,(2053-Inputs!$B$9)=2029,Inputs!$B$103/Inputs!$B$90,(2053-Inputs!$B$9)=2030,Inputs!$B$104/Inputs!$B$91,(2053-Inputs!$B$9)=2031,Inputs!$B$105/Inputs!$B$92,(2053-Inputs!$B$9)=2032,Inputs!$B$106/Inputs!$B$93,(2053-Inputs!$B$9)=2033,Inputs!$B$107/Inputs!$B$94,(2053-Inputs!$B$9)=2034,Inputs!$B$108/Inputs!$B$95,(2053-Inputs!$B$9)=2035,Inputs!$B$109/Inputs!$B$96,(2053-Inputs!$B$9)=2036,Inputs!$B$110/Inputs!$B$97,(2053-Inputs!$B$9)=2037,Inputs!$B$111/Inputs!$B$98,(2053-Inputs!$B$9)=2038,Inputs!$B$112/Inputs!$B$99,(2053-Inputs!$B$9)=2039,Inputs!$B$113/Inputs!$B$100,(2053-Inputs!$B$9)=2040,Inputs!$B$114/Inputs!$B$101)))</f>
        <v>0.432371486587582</v>
      </c>
      <c r="AF27" s="50" t="n">
        <f aca="false">IF((2054-Inputs!$B$9)&lt;2028,0,IF((2054-Inputs!$B$9)&gt;2040,Inputs!$B$114/Inputs!$B$101,_xlfn.IFS((2054-Inputs!$B$9)=2028,Inputs!$B$102/Inputs!$B$89,(2054-Inputs!$B$9)=2029,Inputs!$B$103/Inputs!$B$90,(2054-Inputs!$B$9)=2030,Inputs!$B$104/Inputs!$B$91,(2054-Inputs!$B$9)=2031,Inputs!$B$105/Inputs!$B$92,(2054-Inputs!$B$9)=2032,Inputs!$B$106/Inputs!$B$93,(2054-Inputs!$B$9)=2033,Inputs!$B$107/Inputs!$B$94,(2054-Inputs!$B$9)=2034,Inputs!$B$108/Inputs!$B$95,(2054-Inputs!$B$9)=2035,Inputs!$B$109/Inputs!$B$96,(2054-Inputs!$B$9)=2036,Inputs!$B$110/Inputs!$B$97,(2054-Inputs!$B$9)=2037,Inputs!$B$111/Inputs!$B$98,(2054-Inputs!$B$9)=2038,Inputs!$B$112/Inputs!$B$99,(2054-Inputs!$B$9)=2039,Inputs!$B$113/Inputs!$B$100,(2054-Inputs!$B$9)=2040,Inputs!$B$114/Inputs!$B$101)))</f>
        <v>0.432371486587582</v>
      </c>
      <c r="AG27" s="50" t="n">
        <f aca="false">IF((2055-Inputs!$B$9)&lt;2028,0,IF((2055-Inputs!$B$9)&gt;2040,Inputs!$B$114/Inputs!$B$101,_xlfn.IFS((2055-Inputs!$B$9)=2028,Inputs!$B$102/Inputs!$B$89,(2055-Inputs!$B$9)=2029,Inputs!$B$103/Inputs!$B$90,(2055-Inputs!$B$9)=2030,Inputs!$B$104/Inputs!$B$91,(2055-Inputs!$B$9)=2031,Inputs!$B$105/Inputs!$B$92,(2055-Inputs!$B$9)=2032,Inputs!$B$106/Inputs!$B$93,(2055-Inputs!$B$9)=2033,Inputs!$B$107/Inputs!$B$94,(2055-Inputs!$B$9)=2034,Inputs!$B$108/Inputs!$B$95,(2055-Inputs!$B$9)=2035,Inputs!$B$109/Inputs!$B$96,(2055-Inputs!$B$9)=2036,Inputs!$B$110/Inputs!$B$97,(2055-Inputs!$B$9)=2037,Inputs!$B$111/Inputs!$B$98,(2055-Inputs!$B$9)=2038,Inputs!$B$112/Inputs!$B$99,(2055-Inputs!$B$9)=2039,Inputs!$B$113/Inputs!$B$100,(2055-Inputs!$B$9)=2040,Inputs!$B$114/Inputs!$B$101)))</f>
        <v>0.432371486587582</v>
      </c>
      <c r="AH27" s="50" t="n">
        <f aca="false">IF((2056-Inputs!$B$9)&lt;2028,0,IF((2056-Inputs!$B$9)&gt;2040,Inputs!$B$114/Inputs!$B$101,_xlfn.IFS((2056-Inputs!$B$9)=2028,Inputs!$B$102/Inputs!$B$89,(2056-Inputs!$B$9)=2029,Inputs!$B$103/Inputs!$B$90,(2056-Inputs!$B$9)=2030,Inputs!$B$104/Inputs!$B$91,(2056-Inputs!$B$9)=2031,Inputs!$B$105/Inputs!$B$92,(2056-Inputs!$B$9)=2032,Inputs!$B$106/Inputs!$B$93,(2056-Inputs!$B$9)=2033,Inputs!$B$107/Inputs!$B$94,(2056-Inputs!$B$9)=2034,Inputs!$B$108/Inputs!$B$95,(2056-Inputs!$B$9)=2035,Inputs!$B$109/Inputs!$B$96,(2056-Inputs!$B$9)=2036,Inputs!$B$110/Inputs!$B$97,(2056-Inputs!$B$9)=2037,Inputs!$B$111/Inputs!$B$98,(2056-Inputs!$B$9)=2038,Inputs!$B$112/Inputs!$B$99,(2056-Inputs!$B$9)=2039,Inputs!$B$113/Inputs!$B$100,(2056-Inputs!$B$9)=2040,Inputs!$B$114/Inputs!$B$101)))</f>
        <v>0.432371486587582</v>
      </c>
      <c r="AI27" s="50" t="n">
        <f aca="false">IF((2057-Inputs!$B$9)&lt;2028,0,IF((2057-Inputs!$B$9)&gt;2040,Inputs!$B$114/Inputs!$B$101,_xlfn.IFS((2057-Inputs!$B$9)=2028,Inputs!$B$102/Inputs!$B$89,(2057-Inputs!$B$9)=2029,Inputs!$B$103/Inputs!$B$90,(2057-Inputs!$B$9)=2030,Inputs!$B$104/Inputs!$B$91,(2057-Inputs!$B$9)=2031,Inputs!$B$105/Inputs!$B$92,(2057-Inputs!$B$9)=2032,Inputs!$B$106/Inputs!$B$93,(2057-Inputs!$B$9)=2033,Inputs!$B$107/Inputs!$B$94,(2057-Inputs!$B$9)=2034,Inputs!$B$108/Inputs!$B$95,(2057-Inputs!$B$9)=2035,Inputs!$B$109/Inputs!$B$96,(2057-Inputs!$B$9)=2036,Inputs!$B$110/Inputs!$B$97,(2057-Inputs!$B$9)=2037,Inputs!$B$111/Inputs!$B$98,(2057-Inputs!$B$9)=2038,Inputs!$B$112/Inputs!$B$99,(2057-Inputs!$B$9)=2039,Inputs!$B$113/Inputs!$B$100,(2057-Inputs!$B$9)=2040,Inputs!$B$114/Inputs!$B$101)))</f>
        <v>0.432371486587582</v>
      </c>
      <c r="AJ27" s="50" t="n">
        <f aca="false">IF((2058-Inputs!$B$9)&lt;2028,0,IF((2058-Inputs!$B$9)&gt;2040,Inputs!$B$114/Inputs!$B$101,_xlfn.IFS((2058-Inputs!$B$9)=2028,Inputs!$B$102/Inputs!$B$89,(2058-Inputs!$B$9)=2029,Inputs!$B$103/Inputs!$B$90,(2058-Inputs!$B$9)=2030,Inputs!$B$104/Inputs!$B$91,(2058-Inputs!$B$9)=2031,Inputs!$B$105/Inputs!$B$92,(2058-Inputs!$B$9)=2032,Inputs!$B$106/Inputs!$B$93,(2058-Inputs!$B$9)=2033,Inputs!$B$107/Inputs!$B$94,(2058-Inputs!$B$9)=2034,Inputs!$B$108/Inputs!$B$95,(2058-Inputs!$B$9)=2035,Inputs!$B$109/Inputs!$B$96,(2058-Inputs!$B$9)=2036,Inputs!$B$110/Inputs!$B$97,(2058-Inputs!$B$9)=2037,Inputs!$B$111/Inputs!$B$98,(2058-Inputs!$B$9)=2038,Inputs!$B$112/Inputs!$B$99,(2058-Inputs!$B$9)=2039,Inputs!$B$113/Inputs!$B$100,(2058-Inputs!$B$9)=2040,Inputs!$B$114/Inputs!$B$101)))</f>
        <v>0.432371486587582</v>
      </c>
      <c r="AK27" s="50" t="n">
        <f aca="false">IF((2059-Inputs!$B$9)&lt;2028,0,IF((2059-Inputs!$B$9)&gt;2040,Inputs!$B$114/Inputs!$B$101,_xlfn.IFS((2059-Inputs!$B$9)=2028,Inputs!$B$102/Inputs!$B$89,(2059-Inputs!$B$9)=2029,Inputs!$B$103/Inputs!$B$90,(2059-Inputs!$B$9)=2030,Inputs!$B$104/Inputs!$B$91,(2059-Inputs!$B$9)=2031,Inputs!$B$105/Inputs!$B$92,(2059-Inputs!$B$9)=2032,Inputs!$B$106/Inputs!$B$93,(2059-Inputs!$B$9)=2033,Inputs!$B$107/Inputs!$B$94,(2059-Inputs!$B$9)=2034,Inputs!$B$108/Inputs!$B$95,(2059-Inputs!$B$9)=2035,Inputs!$B$109/Inputs!$B$96,(2059-Inputs!$B$9)=2036,Inputs!$B$110/Inputs!$B$97,(2059-Inputs!$B$9)=2037,Inputs!$B$111/Inputs!$B$98,(2059-Inputs!$B$9)=2038,Inputs!$B$112/Inputs!$B$99,(2059-Inputs!$B$9)=2039,Inputs!$B$113/Inputs!$B$100,(2059-Inputs!$B$9)=2040,Inputs!$B$114/Inputs!$B$101)))</f>
        <v>0.432371486587582</v>
      </c>
      <c r="AL27" s="50" t="n">
        <f aca="false">IF((2060-Inputs!$B$9)&lt;2028,0,IF((2060-Inputs!$B$9)&gt;2040,Inputs!$B$114/Inputs!$B$101,_xlfn.IFS((2060-Inputs!$B$9)=2028,Inputs!$B$102/Inputs!$B$89,(2060-Inputs!$B$9)=2029,Inputs!$B$103/Inputs!$B$90,(2060-Inputs!$B$9)=2030,Inputs!$B$104/Inputs!$B$91,(2060-Inputs!$B$9)=2031,Inputs!$B$105/Inputs!$B$92,(2060-Inputs!$B$9)=2032,Inputs!$B$106/Inputs!$B$93,(2060-Inputs!$B$9)=2033,Inputs!$B$107/Inputs!$B$94,(2060-Inputs!$B$9)=2034,Inputs!$B$108/Inputs!$B$95,(2060-Inputs!$B$9)=2035,Inputs!$B$109/Inputs!$B$96,(2060-Inputs!$B$9)=2036,Inputs!$B$110/Inputs!$B$97,(2060-Inputs!$B$9)=2037,Inputs!$B$111/Inputs!$B$98,(2060-Inputs!$B$9)=2038,Inputs!$B$112/Inputs!$B$99,(2060-Inputs!$B$9)=2039,Inputs!$B$113/Inputs!$B$100,(2060-Inputs!$B$9)=2040,Inputs!$B$114/Inputs!$B$101)))</f>
        <v>0.432371486587582</v>
      </c>
      <c r="AM27" s="50" t="n">
        <f aca="false">IF((2061-Inputs!$B$9)&lt;2028,0,IF((2061-Inputs!$B$9)&gt;2040,Inputs!$B$114/Inputs!$B$101,_xlfn.IFS((2061-Inputs!$B$9)=2028,Inputs!$B$102/Inputs!$B$89,(2061-Inputs!$B$9)=2029,Inputs!$B$103/Inputs!$B$90,(2061-Inputs!$B$9)=2030,Inputs!$B$104/Inputs!$B$91,(2061-Inputs!$B$9)=2031,Inputs!$B$105/Inputs!$B$92,(2061-Inputs!$B$9)=2032,Inputs!$B$106/Inputs!$B$93,(2061-Inputs!$B$9)=2033,Inputs!$B$107/Inputs!$B$94,(2061-Inputs!$B$9)=2034,Inputs!$B$108/Inputs!$B$95,(2061-Inputs!$B$9)=2035,Inputs!$B$109/Inputs!$B$96,(2061-Inputs!$B$9)=2036,Inputs!$B$110/Inputs!$B$97,(2061-Inputs!$B$9)=2037,Inputs!$B$111/Inputs!$B$98,(2061-Inputs!$B$9)=2038,Inputs!$B$112/Inputs!$B$99,(2061-Inputs!$B$9)=2039,Inputs!$B$113/Inputs!$B$100,(2061-Inputs!$B$9)=2040,Inputs!$B$114/Inputs!$B$101)))</f>
        <v>0.432371486587582</v>
      </c>
      <c r="AN27" s="50" t="n">
        <f aca="false">IF((2062-Inputs!$B$9)&lt;2028,0,IF((2062-Inputs!$B$9)&gt;2040,Inputs!$B$114/Inputs!$B$101,_xlfn.IFS((2062-Inputs!$B$9)=2028,Inputs!$B$102/Inputs!$B$89,(2062-Inputs!$B$9)=2029,Inputs!$B$103/Inputs!$B$90,(2062-Inputs!$B$9)=2030,Inputs!$B$104/Inputs!$B$91,(2062-Inputs!$B$9)=2031,Inputs!$B$105/Inputs!$B$92,(2062-Inputs!$B$9)=2032,Inputs!$B$106/Inputs!$B$93,(2062-Inputs!$B$9)=2033,Inputs!$B$107/Inputs!$B$94,(2062-Inputs!$B$9)=2034,Inputs!$B$108/Inputs!$B$95,(2062-Inputs!$B$9)=2035,Inputs!$B$109/Inputs!$B$96,(2062-Inputs!$B$9)=2036,Inputs!$B$110/Inputs!$B$97,(2062-Inputs!$B$9)=2037,Inputs!$B$111/Inputs!$B$98,(2062-Inputs!$B$9)=2038,Inputs!$B$112/Inputs!$B$99,(2062-Inputs!$B$9)=2039,Inputs!$B$113/Inputs!$B$100,(2062-Inputs!$B$9)=2040,Inputs!$B$114/Inputs!$B$101)))</f>
        <v>0.432371486587582</v>
      </c>
      <c r="AO27" s="50" t="n">
        <f aca="false">IF((2063-Inputs!$B$9)&lt;2028,0,IF((2063-Inputs!$B$9)&gt;2040,Inputs!$B$114/Inputs!$B$101,_xlfn.IFS((2063-Inputs!$B$9)=2028,Inputs!$B$102/Inputs!$B$89,(2063-Inputs!$B$9)=2029,Inputs!$B$103/Inputs!$B$90,(2063-Inputs!$B$9)=2030,Inputs!$B$104/Inputs!$B$91,(2063-Inputs!$B$9)=2031,Inputs!$B$105/Inputs!$B$92,(2063-Inputs!$B$9)=2032,Inputs!$B$106/Inputs!$B$93,(2063-Inputs!$B$9)=2033,Inputs!$B$107/Inputs!$B$94,(2063-Inputs!$B$9)=2034,Inputs!$B$108/Inputs!$B$95,(2063-Inputs!$B$9)=2035,Inputs!$B$109/Inputs!$B$96,(2063-Inputs!$B$9)=2036,Inputs!$B$110/Inputs!$B$97,(2063-Inputs!$B$9)=2037,Inputs!$B$111/Inputs!$B$98,(2063-Inputs!$B$9)=2038,Inputs!$B$112/Inputs!$B$99,(2063-Inputs!$B$9)=2039,Inputs!$B$113/Inputs!$B$100,(2063-Inputs!$B$9)=2040,Inputs!$B$114/Inputs!$B$101)))</f>
        <v>0.432371486587582</v>
      </c>
      <c r="AP27" s="50" t="n">
        <f aca="false">IF((2064-Inputs!$B$9)&lt;2028,0,IF((2064-Inputs!$B$9)&gt;2040,Inputs!$B$114/Inputs!$B$101,_xlfn.IFS((2064-Inputs!$B$9)=2028,Inputs!$B$102/Inputs!$B$89,(2064-Inputs!$B$9)=2029,Inputs!$B$103/Inputs!$B$90,(2064-Inputs!$B$9)=2030,Inputs!$B$104/Inputs!$B$91,(2064-Inputs!$B$9)=2031,Inputs!$B$105/Inputs!$B$92,(2064-Inputs!$B$9)=2032,Inputs!$B$106/Inputs!$B$93,(2064-Inputs!$B$9)=2033,Inputs!$B$107/Inputs!$B$94,(2064-Inputs!$B$9)=2034,Inputs!$B$108/Inputs!$B$95,(2064-Inputs!$B$9)=2035,Inputs!$B$109/Inputs!$B$96,(2064-Inputs!$B$9)=2036,Inputs!$B$110/Inputs!$B$97,(2064-Inputs!$B$9)=2037,Inputs!$B$111/Inputs!$B$98,(2064-Inputs!$B$9)=2038,Inputs!$B$112/Inputs!$B$99,(2064-Inputs!$B$9)=2039,Inputs!$B$113/Inputs!$B$100,(2064-Inputs!$B$9)=2040,Inputs!$B$114/Inputs!$B$101)))</f>
        <v>0.432371486587582</v>
      </c>
      <c r="AQ27" s="50" t="n">
        <f aca="false">IF((2065-Inputs!$B$9)&lt;2028,0,IF((2065-Inputs!$B$9)&gt;2040,Inputs!$B$114/Inputs!$B$101,_xlfn.IFS((2065-Inputs!$B$9)=2028,Inputs!$B$102/Inputs!$B$89,(2065-Inputs!$B$9)=2029,Inputs!$B$103/Inputs!$B$90,(2065-Inputs!$B$9)=2030,Inputs!$B$104/Inputs!$B$91,(2065-Inputs!$B$9)=2031,Inputs!$B$105/Inputs!$B$92,(2065-Inputs!$B$9)=2032,Inputs!$B$106/Inputs!$B$93,(2065-Inputs!$B$9)=2033,Inputs!$B$107/Inputs!$B$94,(2065-Inputs!$B$9)=2034,Inputs!$B$108/Inputs!$B$95,(2065-Inputs!$B$9)=2035,Inputs!$B$109/Inputs!$B$96,(2065-Inputs!$B$9)=2036,Inputs!$B$110/Inputs!$B$97,(2065-Inputs!$B$9)=2037,Inputs!$B$111/Inputs!$B$98,(2065-Inputs!$B$9)=2038,Inputs!$B$112/Inputs!$B$99,(2065-Inputs!$B$9)=2039,Inputs!$B$113/Inputs!$B$100,(2065-Inputs!$B$9)=2040,Inputs!$B$114/Inputs!$B$101)))</f>
        <v>0.432371486587582</v>
      </c>
      <c r="AR27" s="50" t="n">
        <f aca="false">IF((2066-Inputs!$B$9)&lt;2028,0,IF((2066-Inputs!$B$9)&gt;2040,Inputs!$B$114/Inputs!$B$101,_xlfn.IFS((2066-Inputs!$B$9)=2028,Inputs!$B$102/Inputs!$B$89,(2066-Inputs!$B$9)=2029,Inputs!$B$103/Inputs!$B$90,(2066-Inputs!$B$9)=2030,Inputs!$B$104/Inputs!$B$91,(2066-Inputs!$B$9)=2031,Inputs!$B$105/Inputs!$B$92,(2066-Inputs!$B$9)=2032,Inputs!$B$106/Inputs!$B$93,(2066-Inputs!$B$9)=2033,Inputs!$B$107/Inputs!$B$94,(2066-Inputs!$B$9)=2034,Inputs!$B$108/Inputs!$B$95,(2066-Inputs!$B$9)=2035,Inputs!$B$109/Inputs!$B$96,(2066-Inputs!$B$9)=2036,Inputs!$B$110/Inputs!$B$97,(2066-Inputs!$B$9)=2037,Inputs!$B$111/Inputs!$B$98,(2066-Inputs!$B$9)=2038,Inputs!$B$112/Inputs!$B$99,(2066-Inputs!$B$9)=2039,Inputs!$B$113/Inputs!$B$100,(2066-Inputs!$B$9)=2040,Inputs!$B$114/Inputs!$B$101)))</f>
        <v>0.432371486587582</v>
      </c>
      <c r="AS27" s="50" t="n">
        <f aca="false">IF((2067-Inputs!$B$9)&lt;2028,0,IF((2067-Inputs!$B$9)&gt;2040,Inputs!$B$114/Inputs!$B$101,_xlfn.IFS((2067-Inputs!$B$9)=2028,Inputs!$B$102/Inputs!$B$89,(2067-Inputs!$B$9)=2029,Inputs!$B$103/Inputs!$B$90,(2067-Inputs!$B$9)=2030,Inputs!$B$104/Inputs!$B$91,(2067-Inputs!$B$9)=2031,Inputs!$B$105/Inputs!$B$92,(2067-Inputs!$B$9)=2032,Inputs!$B$106/Inputs!$B$93,(2067-Inputs!$B$9)=2033,Inputs!$B$107/Inputs!$B$94,(2067-Inputs!$B$9)=2034,Inputs!$B$108/Inputs!$B$95,(2067-Inputs!$B$9)=2035,Inputs!$B$109/Inputs!$B$96,(2067-Inputs!$B$9)=2036,Inputs!$B$110/Inputs!$B$97,(2067-Inputs!$B$9)=2037,Inputs!$B$111/Inputs!$B$98,(2067-Inputs!$B$9)=2038,Inputs!$B$112/Inputs!$B$99,(2067-Inputs!$B$9)=2039,Inputs!$B$113/Inputs!$B$100,(2067-Inputs!$B$9)=2040,Inputs!$B$114/Inputs!$B$101)))</f>
        <v>0.432371486587582</v>
      </c>
      <c r="AT27" s="50" t="n">
        <f aca="false">IF((2068-Inputs!$B$9)&lt;2028,0,IF((2068-Inputs!$B$9)&gt;2040,Inputs!$B$114/Inputs!$B$101,_xlfn.IFS((2068-Inputs!$B$9)=2028,Inputs!$B$102/Inputs!$B$89,(2068-Inputs!$B$9)=2029,Inputs!$B$103/Inputs!$B$90,(2068-Inputs!$B$9)=2030,Inputs!$B$104/Inputs!$B$91,(2068-Inputs!$B$9)=2031,Inputs!$B$105/Inputs!$B$92,(2068-Inputs!$B$9)=2032,Inputs!$B$106/Inputs!$B$93,(2068-Inputs!$B$9)=2033,Inputs!$B$107/Inputs!$B$94,(2068-Inputs!$B$9)=2034,Inputs!$B$108/Inputs!$B$95,(2068-Inputs!$B$9)=2035,Inputs!$B$109/Inputs!$B$96,(2068-Inputs!$B$9)=2036,Inputs!$B$110/Inputs!$B$97,(2068-Inputs!$B$9)=2037,Inputs!$B$111/Inputs!$B$98,(2068-Inputs!$B$9)=2038,Inputs!$B$112/Inputs!$B$99,(2068-Inputs!$B$9)=2039,Inputs!$B$113/Inputs!$B$100,(2068-Inputs!$B$9)=2040,Inputs!$B$114/Inputs!$B$101)))</f>
        <v>0.432371486587582</v>
      </c>
      <c r="AU27" s="50" t="n">
        <f aca="false">IF((2069-Inputs!$B$9)&lt;2028,0,IF((2069-Inputs!$B$9)&gt;2040,Inputs!$B$114/Inputs!$B$101,_xlfn.IFS((2069-Inputs!$B$9)=2028,Inputs!$B$102/Inputs!$B$89,(2069-Inputs!$B$9)=2029,Inputs!$B$103/Inputs!$B$90,(2069-Inputs!$B$9)=2030,Inputs!$B$104/Inputs!$B$91,(2069-Inputs!$B$9)=2031,Inputs!$B$105/Inputs!$B$92,(2069-Inputs!$B$9)=2032,Inputs!$B$106/Inputs!$B$93,(2069-Inputs!$B$9)=2033,Inputs!$B$107/Inputs!$B$94,(2069-Inputs!$B$9)=2034,Inputs!$B$108/Inputs!$B$95,(2069-Inputs!$B$9)=2035,Inputs!$B$109/Inputs!$B$96,(2069-Inputs!$B$9)=2036,Inputs!$B$110/Inputs!$B$97,(2069-Inputs!$B$9)=2037,Inputs!$B$111/Inputs!$B$98,(2069-Inputs!$B$9)=2038,Inputs!$B$112/Inputs!$B$99,(2069-Inputs!$B$9)=2039,Inputs!$B$113/Inputs!$B$100,(2069-Inputs!$B$9)=2040,Inputs!$B$114/Inputs!$B$101)))</f>
        <v>0.432371486587582</v>
      </c>
      <c r="AV27" s="50" t="n">
        <f aca="false">IF((2070-Inputs!$B$9)&lt;2028,0,IF((2070-Inputs!$B$9)&gt;2040,Inputs!$B$114/Inputs!$B$101,_xlfn.IFS((2070-Inputs!$B$9)=2028,Inputs!$B$102/Inputs!$B$89,(2070-Inputs!$B$9)=2029,Inputs!$B$103/Inputs!$B$90,(2070-Inputs!$B$9)=2030,Inputs!$B$104/Inputs!$B$91,(2070-Inputs!$B$9)=2031,Inputs!$B$105/Inputs!$B$92,(2070-Inputs!$B$9)=2032,Inputs!$B$106/Inputs!$B$93,(2070-Inputs!$B$9)=2033,Inputs!$B$107/Inputs!$B$94,(2070-Inputs!$B$9)=2034,Inputs!$B$108/Inputs!$B$95,(2070-Inputs!$B$9)=2035,Inputs!$B$109/Inputs!$B$96,(2070-Inputs!$B$9)=2036,Inputs!$B$110/Inputs!$B$97,(2070-Inputs!$B$9)=2037,Inputs!$B$111/Inputs!$B$98,(2070-Inputs!$B$9)=2038,Inputs!$B$112/Inputs!$B$99,(2070-Inputs!$B$9)=2039,Inputs!$B$113/Inputs!$B$100,(2070-Inputs!$B$9)=2040,Inputs!$B$114/Inputs!$B$101)))</f>
        <v>0.432371486587582</v>
      </c>
      <c r="AW27" s="50" t="n">
        <f aca="false">IF((2071-Inputs!$B$9)&lt;2028,0,IF((2071-Inputs!$B$9)&gt;2040,Inputs!$B$114/Inputs!$B$101,_xlfn.IFS((2071-Inputs!$B$9)=2028,Inputs!$B$102/Inputs!$B$89,(2071-Inputs!$B$9)=2029,Inputs!$B$103/Inputs!$B$90,(2071-Inputs!$B$9)=2030,Inputs!$B$104/Inputs!$B$91,(2071-Inputs!$B$9)=2031,Inputs!$B$105/Inputs!$B$92,(2071-Inputs!$B$9)=2032,Inputs!$B$106/Inputs!$B$93,(2071-Inputs!$B$9)=2033,Inputs!$B$107/Inputs!$B$94,(2071-Inputs!$B$9)=2034,Inputs!$B$108/Inputs!$B$95,(2071-Inputs!$B$9)=2035,Inputs!$B$109/Inputs!$B$96,(2071-Inputs!$B$9)=2036,Inputs!$B$110/Inputs!$B$97,(2071-Inputs!$B$9)=2037,Inputs!$B$111/Inputs!$B$98,(2071-Inputs!$B$9)=2038,Inputs!$B$112/Inputs!$B$99,(2071-Inputs!$B$9)=2039,Inputs!$B$113/Inputs!$B$100,(2071-Inputs!$B$9)=2040,Inputs!$B$114/Inputs!$B$101)))</f>
        <v>0.432371486587582</v>
      </c>
      <c r="AX27" s="50" t="n">
        <f aca="false">IF((2072-Inputs!$B$9)&lt;2028,0,IF((2072-Inputs!$B$9)&gt;2040,Inputs!$B$114/Inputs!$B$101,_xlfn.IFS((2072-Inputs!$B$9)=2028,Inputs!$B$102/Inputs!$B$89,(2072-Inputs!$B$9)=2029,Inputs!$B$103/Inputs!$B$90,(2072-Inputs!$B$9)=2030,Inputs!$B$104/Inputs!$B$91,(2072-Inputs!$B$9)=2031,Inputs!$B$105/Inputs!$B$92,(2072-Inputs!$B$9)=2032,Inputs!$B$106/Inputs!$B$93,(2072-Inputs!$B$9)=2033,Inputs!$B$107/Inputs!$B$94,(2072-Inputs!$B$9)=2034,Inputs!$B$108/Inputs!$B$95,(2072-Inputs!$B$9)=2035,Inputs!$B$109/Inputs!$B$96,(2072-Inputs!$B$9)=2036,Inputs!$B$110/Inputs!$B$97,(2072-Inputs!$B$9)=2037,Inputs!$B$111/Inputs!$B$98,(2072-Inputs!$B$9)=2038,Inputs!$B$112/Inputs!$B$99,(2072-Inputs!$B$9)=2039,Inputs!$B$113/Inputs!$B$100,(2072-Inputs!$B$9)=2040,Inputs!$B$114/Inputs!$B$101)))</f>
        <v>0.432371486587582</v>
      </c>
      <c r="AY27" s="50" t="n">
        <f aca="false">IF((2073-Inputs!$B$9)&lt;2028,0,IF((2073-Inputs!$B$9)&gt;2040,Inputs!$B$114/Inputs!$B$101,_xlfn.IFS((2073-Inputs!$B$9)=2028,Inputs!$B$102/Inputs!$B$89,(2073-Inputs!$B$9)=2029,Inputs!$B$103/Inputs!$B$90,(2073-Inputs!$B$9)=2030,Inputs!$B$104/Inputs!$B$91,(2073-Inputs!$B$9)=2031,Inputs!$B$105/Inputs!$B$92,(2073-Inputs!$B$9)=2032,Inputs!$B$106/Inputs!$B$93,(2073-Inputs!$B$9)=2033,Inputs!$B$107/Inputs!$B$94,(2073-Inputs!$B$9)=2034,Inputs!$B$108/Inputs!$B$95,(2073-Inputs!$B$9)=2035,Inputs!$B$109/Inputs!$B$96,(2073-Inputs!$B$9)=2036,Inputs!$B$110/Inputs!$B$97,(2073-Inputs!$B$9)=2037,Inputs!$B$111/Inputs!$B$98,(2073-Inputs!$B$9)=2038,Inputs!$B$112/Inputs!$B$99,(2073-Inputs!$B$9)=2039,Inputs!$B$113/Inputs!$B$100,(2073-Inputs!$B$9)=2040,Inputs!$B$114/Inputs!$B$101)))</f>
        <v>0.432371486587582</v>
      </c>
      <c r="AZ27" s="50" t="n">
        <f aca="false">IF((2074-Inputs!$B$9)&lt;2028,0,IF((2074-Inputs!$B$9)&gt;2040,Inputs!$B$114/Inputs!$B$101,_xlfn.IFS((2074-Inputs!$B$9)=2028,Inputs!$B$102/Inputs!$B$89,(2074-Inputs!$B$9)=2029,Inputs!$B$103/Inputs!$B$90,(2074-Inputs!$B$9)=2030,Inputs!$B$104/Inputs!$B$91,(2074-Inputs!$B$9)=2031,Inputs!$B$105/Inputs!$B$92,(2074-Inputs!$B$9)=2032,Inputs!$B$106/Inputs!$B$93,(2074-Inputs!$B$9)=2033,Inputs!$B$107/Inputs!$B$94,(2074-Inputs!$B$9)=2034,Inputs!$B$108/Inputs!$B$95,(2074-Inputs!$B$9)=2035,Inputs!$B$109/Inputs!$B$96,(2074-Inputs!$B$9)=2036,Inputs!$B$110/Inputs!$B$97,(2074-Inputs!$B$9)=2037,Inputs!$B$111/Inputs!$B$98,(2074-Inputs!$B$9)=2038,Inputs!$B$112/Inputs!$B$99,(2074-Inputs!$B$9)=2039,Inputs!$B$113/Inputs!$B$100,(2074-Inputs!$B$9)=2040,Inputs!$B$114/Inputs!$B$101)))</f>
        <v>0.432371486587582</v>
      </c>
    </row>
    <row r="28" customFormat="false" ht="15" hidden="false" customHeight="true" outlineLevel="0" collapsed="false">
      <c r="A28" s="13" t="s">
        <v>622</v>
      </c>
      <c r="D28" s="19" t="n">
        <f aca="false">IF((2026-Inputs!$B$9)&lt;2028,0,IF((2026-Inputs!$B$9)&gt;2040,Inputs!$B$127*(1+Inputs!$B$166)^((2026-Inputs!$B$9)-2040),_xlfn.IFS((2026-Inputs!$B$9)=2028,Inputs!$B$115,(2026-Inputs!$B$9)=2029,Inputs!$B$116,(2026-Inputs!$B$9)=2030,Inputs!$B$117,(2026-Inputs!$B$9)=2031,Inputs!$B$118,(2026-Inputs!$B$9)=2032,Inputs!$B$119,(2026-Inputs!$B$9)=2033,Inputs!$B$120,(2026-Inputs!$B$9)=2034,Inputs!$B$121,(2026-Inputs!$B$9)=2035,Inputs!$B$122,(2026-Inputs!$B$9)=2036,Inputs!$B$123,(2026-Inputs!$B$9)=2037,Inputs!$B$124,(2026-Inputs!$B$9)=2038,Inputs!$B$125,(2026-Inputs!$B$9)=2039,Inputs!$B$126,(2026-Inputs!$B$9)=2040,Inputs!$B$127)))</f>
        <v>0</v>
      </c>
      <c r="E28" s="19" t="n">
        <f aca="false">IF((2027-Inputs!$B$9)&lt;2028,0,IF((2027-Inputs!$B$9)&gt;2040,Inputs!$B$127*(1+Inputs!$B$166)^((2027-Inputs!$B$9)-2040),_xlfn.IFS((2027-Inputs!$B$9)=2028,Inputs!$B$115,(2027-Inputs!$B$9)=2029,Inputs!$B$116,(2027-Inputs!$B$9)=2030,Inputs!$B$117,(2027-Inputs!$B$9)=2031,Inputs!$B$118,(2027-Inputs!$B$9)=2032,Inputs!$B$119,(2027-Inputs!$B$9)=2033,Inputs!$B$120,(2027-Inputs!$B$9)=2034,Inputs!$B$121,(2027-Inputs!$B$9)=2035,Inputs!$B$122,(2027-Inputs!$B$9)=2036,Inputs!$B$123,(2027-Inputs!$B$9)=2037,Inputs!$B$124,(2027-Inputs!$B$9)=2038,Inputs!$B$125,(2027-Inputs!$B$9)=2039,Inputs!$B$126,(2027-Inputs!$B$9)=2040,Inputs!$B$127)))</f>
        <v>0</v>
      </c>
      <c r="F28" s="19" t="n">
        <f aca="false">IF((2028-Inputs!$B$9)&lt;2028,0,IF((2028-Inputs!$B$9)&gt;2040,Inputs!$B$127*(1+Inputs!$B$166)^((2028-Inputs!$B$9)-2040),_xlfn.IFS((2028-Inputs!$B$9)=2028,Inputs!$B$115,(2028-Inputs!$B$9)=2029,Inputs!$B$116,(2028-Inputs!$B$9)=2030,Inputs!$B$117,(2028-Inputs!$B$9)=2031,Inputs!$B$118,(2028-Inputs!$B$9)=2032,Inputs!$B$119,(2028-Inputs!$B$9)=2033,Inputs!$B$120,(2028-Inputs!$B$9)=2034,Inputs!$B$121,(2028-Inputs!$B$9)=2035,Inputs!$B$122,(2028-Inputs!$B$9)=2036,Inputs!$B$123,(2028-Inputs!$B$9)=2037,Inputs!$B$124,(2028-Inputs!$B$9)=2038,Inputs!$B$125,(2028-Inputs!$B$9)=2039,Inputs!$B$126,(2028-Inputs!$B$9)=2040,Inputs!$B$127)))</f>
        <v>77.48</v>
      </c>
      <c r="G28" s="19" t="n">
        <f aca="false">IF((2029-Inputs!$B$9)&lt;2028,0,IF((2029-Inputs!$B$9)&gt;2040,Inputs!$B$127*(1+Inputs!$B$166)^((2029-Inputs!$B$9)-2040),_xlfn.IFS((2029-Inputs!$B$9)=2028,Inputs!$B$115,(2029-Inputs!$B$9)=2029,Inputs!$B$116,(2029-Inputs!$B$9)=2030,Inputs!$B$117,(2029-Inputs!$B$9)=2031,Inputs!$B$118,(2029-Inputs!$B$9)=2032,Inputs!$B$119,(2029-Inputs!$B$9)=2033,Inputs!$B$120,(2029-Inputs!$B$9)=2034,Inputs!$B$121,(2029-Inputs!$B$9)=2035,Inputs!$B$122,(2029-Inputs!$B$9)=2036,Inputs!$B$123,(2029-Inputs!$B$9)=2037,Inputs!$B$124,(2029-Inputs!$B$9)=2038,Inputs!$B$125,(2029-Inputs!$B$9)=2039,Inputs!$B$126,(2029-Inputs!$B$9)=2040,Inputs!$B$127)))</f>
        <v>80.33</v>
      </c>
      <c r="H28" s="19" t="n">
        <f aca="false">IF((2030-Inputs!$B$9)&lt;2028,0,IF((2030-Inputs!$B$9)&gt;2040,Inputs!$B$127*(1+Inputs!$B$166)^((2030-Inputs!$B$9)-2040),_xlfn.IFS((2030-Inputs!$B$9)=2028,Inputs!$B$115,(2030-Inputs!$B$9)=2029,Inputs!$B$116,(2030-Inputs!$B$9)=2030,Inputs!$B$117,(2030-Inputs!$B$9)=2031,Inputs!$B$118,(2030-Inputs!$B$9)=2032,Inputs!$B$119,(2030-Inputs!$B$9)=2033,Inputs!$B$120,(2030-Inputs!$B$9)=2034,Inputs!$B$121,(2030-Inputs!$B$9)=2035,Inputs!$B$122,(2030-Inputs!$B$9)=2036,Inputs!$B$123,(2030-Inputs!$B$9)=2037,Inputs!$B$124,(2030-Inputs!$B$9)=2038,Inputs!$B$125,(2030-Inputs!$B$9)=2039,Inputs!$B$126,(2030-Inputs!$B$9)=2040,Inputs!$B$127)))</f>
        <v>82.38</v>
      </c>
      <c r="I28" s="19" t="n">
        <f aca="false">IF((2031-Inputs!$B$9)&lt;2028,0,IF((2031-Inputs!$B$9)&gt;2040,Inputs!$B$127*(1+Inputs!$B$166)^((2031-Inputs!$B$9)-2040),_xlfn.IFS((2031-Inputs!$B$9)=2028,Inputs!$B$115,(2031-Inputs!$B$9)=2029,Inputs!$B$116,(2031-Inputs!$B$9)=2030,Inputs!$B$117,(2031-Inputs!$B$9)=2031,Inputs!$B$118,(2031-Inputs!$B$9)=2032,Inputs!$B$119,(2031-Inputs!$B$9)=2033,Inputs!$B$120,(2031-Inputs!$B$9)=2034,Inputs!$B$121,(2031-Inputs!$B$9)=2035,Inputs!$B$122,(2031-Inputs!$B$9)=2036,Inputs!$B$123,(2031-Inputs!$B$9)=2037,Inputs!$B$124,(2031-Inputs!$B$9)=2038,Inputs!$B$125,(2031-Inputs!$B$9)=2039,Inputs!$B$126,(2031-Inputs!$B$9)=2040,Inputs!$B$127)))</f>
        <v>83.53</v>
      </c>
      <c r="J28" s="19" t="n">
        <f aca="false">IF((2032-Inputs!$B$9)&lt;2028,0,IF((2032-Inputs!$B$9)&gt;2040,Inputs!$B$127*(1+Inputs!$B$166)^((2032-Inputs!$B$9)-2040),_xlfn.IFS((2032-Inputs!$B$9)=2028,Inputs!$B$115,(2032-Inputs!$B$9)=2029,Inputs!$B$116,(2032-Inputs!$B$9)=2030,Inputs!$B$117,(2032-Inputs!$B$9)=2031,Inputs!$B$118,(2032-Inputs!$B$9)=2032,Inputs!$B$119,(2032-Inputs!$B$9)=2033,Inputs!$B$120,(2032-Inputs!$B$9)=2034,Inputs!$B$121,(2032-Inputs!$B$9)=2035,Inputs!$B$122,(2032-Inputs!$B$9)=2036,Inputs!$B$123,(2032-Inputs!$B$9)=2037,Inputs!$B$124,(2032-Inputs!$B$9)=2038,Inputs!$B$125,(2032-Inputs!$B$9)=2039,Inputs!$B$126,(2032-Inputs!$B$9)=2040,Inputs!$B$127)))</f>
        <v>85.44</v>
      </c>
      <c r="K28" s="19" t="n">
        <f aca="false">IF((2033-Inputs!$B$9)&lt;2028,0,IF((2033-Inputs!$B$9)&gt;2040,Inputs!$B$127*(1+Inputs!$B$166)^((2033-Inputs!$B$9)-2040),_xlfn.IFS((2033-Inputs!$B$9)=2028,Inputs!$B$115,(2033-Inputs!$B$9)=2029,Inputs!$B$116,(2033-Inputs!$B$9)=2030,Inputs!$B$117,(2033-Inputs!$B$9)=2031,Inputs!$B$118,(2033-Inputs!$B$9)=2032,Inputs!$B$119,(2033-Inputs!$B$9)=2033,Inputs!$B$120,(2033-Inputs!$B$9)=2034,Inputs!$B$121,(2033-Inputs!$B$9)=2035,Inputs!$B$122,(2033-Inputs!$B$9)=2036,Inputs!$B$123,(2033-Inputs!$B$9)=2037,Inputs!$B$124,(2033-Inputs!$B$9)=2038,Inputs!$B$125,(2033-Inputs!$B$9)=2039,Inputs!$B$126,(2033-Inputs!$B$9)=2040,Inputs!$B$127)))</f>
        <v>87.39</v>
      </c>
      <c r="L28" s="19" t="n">
        <f aca="false">IF((2034-Inputs!$B$9)&lt;2028,0,IF((2034-Inputs!$B$9)&gt;2040,Inputs!$B$127*(1+Inputs!$B$166)^((2034-Inputs!$B$9)-2040),_xlfn.IFS((2034-Inputs!$B$9)=2028,Inputs!$B$115,(2034-Inputs!$B$9)=2029,Inputs!$B$116,(2034-Inputs!$B$9)=2030,Inputs!$B$117,(2034-Inputs!$B$9)=2031,Inputs!$B$118,(2034-Inputs!$B$9)=2032,Inputs!$B$119,(2034-Inputs!$B$9)=2033,Inputs!$B$120,(2034-Inputs!$B$9)=2034,Inputs!$B$121,(2034-Inputs!$B$9)=2035,Inputs!$B$122,(2034-Inputs!$B$9)=2036,Inputs!$B$123,(2034-Inputs!$B$9)=2037,Inputs!$B$124,(2034-Inputs!$B$9)=2038,Inputs!$B$125,(2034-Inputs!$B$9)=2039,Inputs!$B$126,(2034-Inputs!$B$9)=2040,Inputs!$B$127)))</f>
        <v>89.39</v>
      </c>
      <c r="M28" s="19" t="n">
        <f aca="false">IF((2035-Inputs!$B$9)&lt;2028,0,IF((2035-Inputs!$B$9)&gt;2040,Inputs!$B$127*(1+Inputs!$B$166)^((2035-Inputs!$B$9)-2040),_xlfn.IFS((2035-Inputs!$B$9)=2028,Inputs!$B$115,(2035-Inputs!$B$9)=2029,Inputs!$B$116,(2035-Inputs!$B$9)=2030,Inputs!$B$117,(2035-Inputs!$B$9)=2031,Inputs!$B$118,(2035-Inputs!$B$9)=2032,Inputs!$B$119,(2035-Inputs!$B$9)=2033,Inputs!$B$120,(2035-Inputs!$B$9)=2034,Inputs!$B$121,(2035-Inputs!$B$9)=2035,Inputs!$B$122,(2035-Inputs!$B$9)=2036,Inputs!$B$123,(2035-Inputs!$B$9)=2037,Inputs!$B$124,(2035-Inputs!$B$9)=2038,Inputs!$B$125,(2035-Inputs!$B$9)=2039,Inputs!$B$126,(2035-Inputs!$B$9)=2040,Inputs!$B$127)))</f>
        <v>91.44</v>
      </c>
      <c r="N28" s="19" t="n">
        <f aca="false">IF((2036-Inputs!$B$9)&lt;2028,0,IF((2036-Inputs!$B$9)&gt;2040,Inputs!$B$127*(1+Inputs!$B$166)^((2036-Inputs!$B$9)-2040),_xlfn.IFS((2036-Inputs!$B$9)=2028,Inputs!$B$115,(2036-Inputs!$B$9)=2029,Inputs!$B$116,(2036-Inputs!$B$9)=2030,Inputs!$B$117,(2036-Inputs!$B$9)=2031,Inputs!$B$118,(2036-Inputs!$B$9)=2032,Inputs!$B$119,(2036-Inputs!$B$9)=2033,Inputs!$B$120,(2036-Inputs!$B$9)=2034,Inputs!$B$121,(2036-Inputs!$B$9)=2035,Inputs!$B$122,(2036-Inputs!$B$9)=2036,Inputs!$B$123,(2036-Inputs!$B$9)=2037,Inputs!$B$124,(2036-Inputs!$B$9)=2038,Inputs!$B$125,(2036-Inputs!$B$9)=2039,Inputs!$B$126,(2036-Inputs!$B$9)=2040,Inputs!$B$127)))</f>
        <v>93.54</v>
      </c>
      <c r="O28" s="19" t="n">
        <f aca="false">IF((2037-Inputs!$B$9)&lt;2028,0,IF((2037-Inputs!$B$9)&gt;2040,Inputs!$B$127*(1+Inputs!$B$166)^((2037-Inputs!$B$9)-2040),_xlfn.IFS((2037-Inputs!$B$9)=2028,Inputs!$B$115,(2037-Inputs!$B$9)=2029,Inputs!$B$116,(2037-Inputs!$B$9)=2030,Inputs!$B$117,(2037-Inputs!$B$9)=2031,Inputs!$B$118,(2037-Inputs!$B$9)=2032,Inputs!$B$119,(2037-Inputs!$B$9)=2033,Inputs!$B$120,(2037-Inputs!$B$9)=2034,Inputs!$B$121,(2037-Inputs!$B$9)=2035,Inputs!$B$122,(2037-Inputs!$B$9)=2036,Inputs!$B$123,(2037-Inputs!$B$9)=2037,Inputs!$B$124,(2037-Inputs!$B$9)=2038,Inputs!$B$125,(2037-Inputs!$B$9)=2039,Inputs!$B$126,(2037-Inputs!$B$9)=2040,Inputs!$B$127)))</f>
        <v>95.69</v>
      </c>
      <c r="P28" s="19" t="n">
        <f aca="false">IF((2038-Inputs!$B$9)&lt;2028,0,IF((2038-Inputs!$B$9)&gt;2040,Inputs!$B$127*(1+Inputs!$B$166)^((2038-Inputs!$B$9)-2040),_xlfn.IFS((2038-Inputs!$B$9)=2028,Inputs!$B$115,(2038-Inputs!$B$9)=2029,Inputs!$B$116,(2038-Inputs!$B$9)=2030,Inputs!$B$117,(2038-Inputs!$B$9)=2031,Inputs!$B$118,(2038-Inputs!$B$9)=2032,Inputs!$B$119,(2038-Inputs!$B$9)=2033,Inputs!$B$120,(2038-Inputs!$B$9)=2034,Inputs!$B$121,(2038-Inputs!$B$9)=2035,Inputs!$B$122,(2038-Inputs!$B$9)=2036,Inputs!$B$123,(2038-Inputs!$B$9)=2037,Inputs!$B$124,(2038-Inputs!$B$9)=2038,Inputs!$B$125,(2038-Inputs!$B$9)=2039,Inputs!$B$126,(2038-Inputs!$B$9)=2040,Inputs!$B$127)))</f>
        <v>97.9</v>
      </c>
      <c r="Q28" s="19" t="n">
        <f aca="false">IF((2039-Inputs!$B$9)&lt;2028,0,IF((2039-Inputs!$B$9)&gt;2040,Inputs!$B$127*(1+Inputs!$B$166)^((2039-Inputs!$B$9)-2040),_xlfn.IFS((2039-Inputs!$B$9)=2028,Inputs!$B$115,(2039-Inputs!$B$9)=2029,Inputs!$B$116,(2039-Inputs!$B$9)=2030,Inputs!$B$117,(2039-Inputs!$B$9)=2031,Inputs!$B$118,(2039-Inputs!$B$9)=2032,Inputs!$B$119,(2039-Inputs!$B$9)=2033,Inputs!$B$120,(2039-Inputs!$B$9)=2034,Inputs!$B$121,(2039-Inputs!$B$9)=2035,Inputs!$B$122,(2039-Inputs!$B$9)=2036,Inputs!$B$123,(2039-Inputs!$B$9)=2037,Inputs!$B$124,(2039-Inputs!$B$9)=2038,Inputs!$B$125,(2039-Inputs!$B$9)=2039,Inputs!$B$126,(2039-Inputs!$B$9)=2040,Inputs!$B$127)))</f>
        <v>100.16</v>
      </c>
      <c r="R28" s="19" t="n">
        <f aca="false">IF((2040-Inputs!$B$9)&lt;2028,0,IF((2040-Inputs!$B$9)&gt;2040,Inputs!$B$127*(1+Inputs!$B$166)^((2040-Inputs!$B$9)-2040),_xlfn.IFS((2040-Inputs!$B$9)=2028,Inputs!$B$115,(2040-Inputs!$B$9)=2029,Inputs!$B$116,(2040-Inputs!$B$9)=2030,Inputs!$B$117,(2040-Inputs!$B$9)=2031,Inputs!$B$118,(2040-Inputs!$B$9)=2032,Inputs!$B$119,(2040-Inputs!$B$9)=2033,Inputs!$B$120,(2040-Inputs!$B$9)=2034,Inputs!$B$121,(2040-Inputs!$B$9)=2035,Inputs!$B$122,(2040-Inputs!$B$9)=2036,Inputs!$B$123,(2040-Inputs!$B$9)=2037,Inputs!$B$124,(2040-Inputs!$B$9)=2038,Inputs!$B$125,(2040-Inputs!$B$9)=2039,Inputs!$B$126,(2040-Inputs!$B$9)=2040,Inputs!$B$127)))</f>
        <v>102.49</v>
      </c>
      <c r="S28" s="19" t="n">
        <f aca="false">IF((2041-Inputs!$B$9)&lt;2028,0,IF((2041-Inputs!$B$9)&gt;2040,Inputs!$B$127*(1+Inputs!$B$166)^((2041-Inputs!$B$9)-2040),_xlfn.IFS((2041-Inputs!$B$9)=2028,Inputs!$B$115,(2041-Inputs!$B$9)=2029,Inputs!$B$116,(2041-Inputs!$B$9)=2030,Inputs!$B$117,(2041-Inputs!$B$9)=2031,Inputs!$B$118,(2041-Inputs!$B$9)=2032,Inputs!$B$119,(2041-Inputs!$B$9)=2033,Inputs!$B$120,(2041-Inputs!$B$9)=2034,Inputs!$B$121,(2041-Inputs!$B$9)=2035,Inputs!$B$122,(2041-Inputs!$B$9)=2036,Inputs!$B$123,(2041-Inputs!$B$9)=2037,Inputs!$B$124,(2041-Inputs!$B$9)=2038,Inputs!$B$125,(2041-Inputs!$B$9)=2039,Inputs!$B$126,(2041-Inputs!$B$9)=2040,Inputs!$B$127)))</f>
        <v>105.05225</v>
      </c>
      <c r="T28" s="19" t="n">
        <f aca="false">IF((2042-Inputs!$B$9)&lt;2028,0,IF((2042-Inputs!$B$9)&gt;2040,Inputs!$B$127*(1+Inputs!$B$166)^((2042-Inputs!$B$9)-2040),_xlfn.IFS((2042-Inputs!$B$9)=2028,Inputs!$B$115,(2042-Inputs!$B$9)=2029,Inputs!$B$116,(2042-Inputs!$B$9)=2030,Inputs!$B$117,(2042-Inputs!$B$9)=2031,Inputs!$B$118,(2042-Inputs!$B$9)=2032,Inputs!$B$119,(2042-Inputs!$B$9)=2033,Inputs!$B$120,(2042-Inputs!$B$9)=2034,Inputs!$B$121,(2042-Inputs!$B$9)=2035,Inputs!$B$122,(2042-Inputs!$B$9)=2036,Inputs!$B$123,(2042-Inputs!$B$9)=2037,Inputs!$B$124,(2042-Inputs!$B$9)=2038,Inputs!$B$125,(2042-Inputs!$B$9)=2039,Inputs!$B$126,(2042-Inputs!$B$9)=2040,Inputs!$B$127)))</f>
        <v>107.67855625</v>
      </c>
      <c r="U28" s="19" t="n">
        <f aca="false">IF((2043-Inputs!$B$9)&lt;2028,0,IF((2043-Inputs!$B$9)&gt;2040,Inputs!$B$127*(1+Inputs!$B$166)^((2043-Inputs!$B$9)-2040),_xlfn.IFS((2043-Inputs!$B$9)=2028,Inputs!$B$115,(2043-Inputs!$B$9)=2029,Inputs!$B$116,(2043-Inputs!$B$9)=2030,Inputs!$B$117,(2043-Inputs!$B$9)=2031,Inputs!$B$118,(2043-Inputs!$B$9)=2032,Inputs!$B$119,(2043-Inputs!$B$9)=2033,Inputs!$B$120,(2043-Inputs!$B$9)=2034,Inputs!$B$121,(2043-Inputs!$B$9)=2035,Inputs!$B$122,(2043-Inputs!$B$9)=2036,Inputs!$B$123,(2043-Inputs!$B$9)=2037,Inputs!$B$124,(2043-Inputs!$B$9)=2038,Inputs!$B$125,(2043-Inputs!$B$9)=2039,Inputs!$B$126,(2043-Inputs!$B$9)=2040,Inputs!$B$127)))</f>
        <v>110.37052015625</v>
      </c>
      <c r="V28" s="19" t="n">
        <f aca="false">IF((2044-Inputs!$B$9)&lt;2028,0,IF((2044-Inputs!$B$9)&gt;2040,Inputs!$B$127*(1+Inputs!$B$166)^((2044-Inputs!$B$9)-2040),_xlfn.IFS((2044-Inputs!$B$9)=2028,Inputs!$B$115,(2044-Inputs!$B$9)=2029,Inputs!$B$116,(2044-Inputs!$B$9)=2030,Inputs!$B$117,(2044-Inputs!$B$9)=2031,Inputs!$B$118,(2044-Inputs!$B$9)=2032,Inputs!$B$119,(2044-Inputs!$B$9)=2033,Inputs!$B$120,(2044-Inputs!$B$9)=2034,Inputs!$B$121,(2044-Inputs!$B$9)=2035,Inputs!$B$122,(2044-Inputs!$B$9)=2036,Inputs!$B$123,(2044-Inputs!$B$9)=2037,Inputs!$B$124,(2044-Inputs!$B$9)=2038,Inputs!$B$125,(2044-Inputs!$B$9)=2039,Inputs!$B$126,(2044-Inputs!$B$9)=2040,Inputs!$B$127)))</f>
        <v>113.129783160156</v>
      </c>
      <c r="W28" s="19" t="n">
        <f aca="false">IF((2045-Inputs!$B$9)&lt;2028,0,IF((2045-Inputs!$B$9)&gt;2040,Inputs!$B$127*(1+Inputs!$B$166)^((2045-Inputs!$B$9)-2040),_xlfn.IFS((2045-Inputs!$B$9)=2028,Inputs!$B$115,(2045-Inputs!$B$9)=2029,Inputs!$B$116,(2045-Inputs!$B$9)=2030,Inputs!$B$117,(2045-Inputs!$B$9)=2031,Inputs!$B$118,(2045-Inputs!$B$9)=2032,Inputs!$B$119,(2045-Inputs!$B$9)=2033,Inputs!$B$120,(2045-Inputs!$B$9)=2034,Inputs!$B$121,(2045-Inputs!$B$9)=2035,Inputs!$B$122,(2045-Inputs!$B$9)=2036,Inputs!$B$123,(2045-Inputs!$B$9)=2037,Inputs!$B$124,(2045-Inputs!$B$9)=2038,Inputs!$B$125,(2045-Inputs!$B$9)=2039,Inputs!$B$126,(2045-Inputs!$B$9)=2040,Inputs!$B$127)))</f>
        <v>115.95802773916</v>
      </c>
      <c r="X28" s="19" t="n">
        <f aca="false">IF((2046-Inputs!$B$9)&lt;2028,0,IF((2046-Inputs!$B$9)&gt;2040,Inputs!$B$127*(1+Inputs!$B$166)^((2046-Inputs!$B$9)-2040),_xlfn.IFS((2046-Inputs!$B$9)=2028,Inputs!$B$115,(2046-Inputs!$B$9)=2029,Inputs!$B$116,(2046-Inputs!$B$9)=2030,Inputs!$B$117,(2046-Inputs!$B$9)=2031,Inputs!$B$118,(2046-Inputs!$B$9)=2032,Inputs!$B$119,(2046-Inputs!$B$9)=2033,Inputs!$B$120,(2046-Inputs!$B$9)=2034,Inputs!$B$121,(2046-Inputs!$B$9)=2035,Inputs!$B$122,(2046-Inputs!$B$9)=2036,Inputs!$B$123,(2046-Inputs!$B$9)=2037,Inputs!$B$124,(2046-Inputs!$B$9)=2038,Inputs!$B$125,(2046-Inputs!$B$9)=2039,Inputs!$B$126,(2046-Inputs!$B$9)=2040,Inputs!$B$127)))</f>
        <v>118.856978432639</v>
      </c>
      <c r="Y28" s="19" t="n">
        <f aca="false">IF((2047-Inputs!$B$9)&lt;2028,0,IF((2047-Inputs!$B$9)&gt;2040,Inputs!$B$127*(1+Inputs!$B$166)^((2047-Inputs!$B$9)-2040),_xlfn.IFS((2047-Inputs!$B$9)=2028,Inputs!$B$115,(2047-Inputs!$B$9)=2029,Inputs!$B$116,(2047-Inputs!$B$9)=2030,Inputs!$B$117,(2047-Inputs!$B$9)=2031,Inputs!$B$118,(2047-Inputs!$B$9)=2032,Inputs!$B$119,(2047-Inputs!$B$9)=2033,Inputs!$B$120,(2047-Inputs!$B$9)=2034,Inputs!$B$121,(2047-Inputs!$B$9)=2035,Inputs!$B$122,(2047-Inputs!$B$9)=2036,Inputs!$B$123,(2047-Inputs!$B$9)=2037,Inputs!$B$124,(2047-Inputs!$B$9)=2038,Inputs!$B$125,(2047-Inputs!$B$9)=2039,Inputs!$B$126,(2047-Inputs!$B$9)=2040,Inputs!$B$127)))</f>
        <v>121.828402893455</v>
      </c>
      <c r="Z28" s="19" t="n">
        <f aca="false">IF((2048-Inputs!$B$9)&lt;2028,0,IF((2048-Inputs!$B$9)&gt;2040,Inputs!$B$127*(1+Inputs!$B$166)^((2048-Inputs!$B$9)-2040),_xlfn.IFS((2048-Inputs!$B$9)=2028,Inputs!$B$115,(2048-Inputs!$B$9)=2029,Inputs!$B$116,(2048-Inputs!$B$9)=2030,Inputs!$B$117,(2048-Inputs!$B$9)=2031,Inputs!$B$118,(2048-Inputs!$B$9)=2032,Inputs!$B$119,(2048-Inputs!$B$9)=2033,Inputs!$B$120,(2048-Inputs!$B$9)=2034,Inputs!$B$121,(2048-Inputs!$B$9)=2035,Inputs!$B$122,(2048-Inputs!$B$9)=2036,Inputs!$B$123,(2048-Inputs!$B$9)=2037,Inputs!$B$124,(2048-Inputs!$B$9)=2038,Inputs!$B$125,(2048-Inputs!$B$9)=2039,Inputs!$B$126,(2048-Inputs!$B$9)=2040,Inputs!$B$127)))</f>
        <v>124.874112965791</v>
      </c>
      <c r="AA28" s="19" t="n">
        <f aca="false">IF((2049-Inputs!$B$9)&lt;2028,0,IF((2049-Inputs!$B$9)&gt;2040,Inputs!$B$127*(1+Inputs!$B$166)^((2049-Inputs!$B$9)-2040),_xlfn.IFS((2049-Inputs!$B$9)=2028,Inputs!$B$115,(2049-Inputs!$B$9)=2029,Inputs!$B$116,(2049-Inputs!$B$9)=2030,Inputs!$B$117,(2049-Inputs!$B$9)=2031,Inputs!$B$118,(2049-Inputs!$B$9)=2032,Inputs!$B$119,(2049-Inputs!$B$9)=2033,Inputs!$B$120,(2049-Inputs!$B$9)=2034,Inputs!$B$121,(2049-Inputs!$B$9)=2035,Inputs!$B$122,(2049-Inputs!$B$9)=2036,Inputs!$B$123,(2049-Inputs!$B$9)=2037,Inputs!$B$124,(2049-Inputs!$B$9)=2038,Inputs!$B$125,(2049-Inputs!$B$9)=2039,Inputs!$B$126,(2049-Inputs!$B$9)=2040,Inputs!$B$127)))</f>
        <v>127.995965789936</v>
      </c>
      <c r="AB28" s="19" t="n">
        <f aca="false">IF((2050-Inputs!$B$9)&lt;2028,0,IF((2050-Inputs!$B$9)&gt;2040,Inputs!$B$127*(1+Inputs!$B$166)^((2050-Inputs!$B$9)-2040),_xlfn.IFS((2050-Inputs!$B$9)=2028,Inputs!$B$115,(2050-Inputs!$B$9)=2029,Inputs!$B$116,(2050-Inputs!$B$9)=2030,Inputs!$B$117,(2050-Inputs!$B$9)=2031,Inputs!$B$118,(2050-Inputs!$B$9)=2032,Inputs!$B$119,(2050-Inputs!$B$9)=2033,Inputs!$B$120,(2050-Inputs!$B$9)=2034,Inputs!$B$121,(2050-Inputs!$B$9)=2035,Inputs!$B$122,(2050-Inputs!$B$9)=2036,Inputs!$B$123,(2050-Inputs!$B$9)=2037,Inputs!$B$124,(2050-Inputs!$B$9)=2038,Inputs!$B$125,(2050-Inputs!$B$9)=2039,Inputs!$B$126,(2050-Inputs!$B$9)=2040,Inputs!$B$127)))</f>
        <v>131.195864934685</v>
      </c>
      <c r="AC28" s="19" t="n">
        <f aca="false">IF((2051-Inputs!$B$9)&lt;2028,0,IF((2051-Inputs!$B$9)&gt;2040,Inputs!$B$127*(1+Inputs!$B$166)^((2051-Inputs!$B$9)-2040),_xlfn.IFS((2051-Inputs!$B$9)=2028,Inputs!$B$115,(2051-Inputs!$B$9)=2029,Inputs!$B$116,(2051-Inputs!$B$9)=2030,Inputs!$B$117,(2051-Inputs!$B$9)=2031,Inputs!$B$118,(2051-Inputs!$B$9)=2032,Inputs!$B$119,(2051-Inputs!$B$9)=2033,Inputs!$B$120,(2051-Inputs!$B$9)=2034,Inputs!$B$121,(2051-Inputs!$B$9)=2035,Inputs!$B$122,(2051-Inputs!$B$9)=2036,Inputs!$B$123,(2051-Inputs!$B$9)=2037,Inputs!$B$124,(2051-Inputs!$B$9)=2038,Inputs!$B$125,(2051-Inputs!$B$9)=2039,Inputs!$B$126,(2051-Inputs!$B$9)=2040,Inputs!$B$127)))</f>
        <v>134.475761558052</v>
      </c>
      <c r="AD28" s="19" t="n">
        <f aca="false">IF((2052-Inputs!$B$9)&lt;2028,0,IF((2052-Inputs!$B$9)&gt;2040,Inputs!$B$127*(1+Inputs!$B$166)^((2052-Inputs!$B$9)-2040),_xlfn.IFS((2052-Inputs!$B$9)=2028,Inputs!$B$115,(2052-Inputs!$B$9)=2029,Inputs!$B$116,(2052-Inputs!$B$9)=2030,Inputs!$B$117,(2052-Inputs!$B$9)=2031,Inputs!$B$118,(2052-Inputs!$B$9)=2032,Inputs!$B$119,(2052-Inputs!$B$9)=2033,Inputs!$B$120,(2052-Inputs!$B$9)=2034,Inputs!$B$121,(2052-Inputs!$B$9)=2035,Inputs!$B$122,(2052-Inputs!$B$9)=2036,Inputs!$B$123,(2052-Inputs!$B$9)=2037,Inputs!$B$124,(2052-Inputs!$B$9)=2038,Inputs!$B$125,(2052-Inputs!$B$9)=2039,Inputs!$B$126,(2052-Inputs!$B$9)=2040,Inputs!$B$127)))</f>
        <v>137.837655597003</v>
      </c>
      <c r="AE28" s="19" t="n">
        <f aca="false">IF((2053-Inputs!$B$9)&lt;2028,0,IF((2053-Inputs!$B$9)&gt;2040,Inputs!$B$127*(1+Inputs!$B$166)^((2053-Inputs!$B$9)-2040),_xlfn.IFS((2053-Inputs!$B$9)=2028,Inputs!$B$115,(2053-Inputs!$B$9)=2029,Inputs!$B$116,(2053-Inputs!$B$9)=2030,Inputs!$B$117,(2053-Inputs!$B$9)=2031,Inputs!$B$118,(2053-Inputs!$B$9)=2032,Inputs!$B$119,(2053-Inputs!$B$9)=2033,Inputs!$B$120,(2053-Inputs!$B$9)=2034,Inputs!$B$121,(2053-Inputs!$B$9)=2035,Inputs!$B$122,(2053-Inputs!$B$9)=2036,Inputs!$B$123,(2053-Inputs!$B$9)=2037,Inputs!$B$124,(2053-Inputs!$B$9)=2038,Inputs!$B$125,(2053-Inputs!$B$9)=2039,Inputs!$B$126,(2053-Inputs!$B$9)=2040,Inputs!$B$127)))</f>
        <v>141.283596986928</v>
      </c>
      <c r="AF28" s="19" t="n">
        <f aca="false">IF((2054-Inputs!$B$9)&lt;2028,0,IF((2054-Inputs!$B$9)&gt;2040,Inputs!$B$127*(1+Inputs!$B$166)^((2054-Inputs!$B$9)-2040),_xlfn.IFS((2054-Inputs!$B$9)=2028,Inputs!$B$115,(2054-Inputs!$B$9)=2029,Inputs!$B$116,(2054-Inputs!$B$9)=2030,Inputs!$B$117,(2054-Inputs!$B$9)=2031,Inputs!$B$118,(2054-Inputs!$B$9)=2032,Inputs!$B$119,(2054-Inputs!$B$9)=2033,Inputs!$B$120,(2054-Inputs!$B$9)=2034,Inputs!$B$121,(2054-Inputs!$B$9)=2035,Inputs!$B$122,(2054-Inputs!$B$9)=2036,Inputs!$B$123,(2054-Inputs!$B$9)=2037,Inputs!$B$124,(2054-Inputs!$B$9)=2038,Inputs!$B$125,(2054-Inputs!$B$9)=2039,Inputs!$B$126,(2054-Inputs!$B$9)=2040,Inputs!$B$127)))</f>
        <v>144.815686911601</v>
      </c>
      <c r="AG28" s="19" t="n">
        <f aca="false">IF((2055-Inputs!$B$9)&lt;2028,0,IF((2055-Inputs!$B$9)&gt;2040,Inputs!$B$127*(1+Inputs!$B$166)^((2055-Inputs!$B$9)-2040),_xlfn.IFS((2055-Inputs!$B$9)=2028,Inputs!$B$115,(2055-Inputs!$B$9)=2029,Inputs!$B$116,(2055-Inputs!$B$9)=2030,Inputs!$B$117,(2055-Inputs!$B$9)=2031,Inputs!$B$118,(2055-Inputs!$B$9)=2032,Inputs!$B$119,(2055-Inputs!$B$9)=2033,Inputs!$B$120,(2055-Inputs!$B$9)=2034,Inputs!$B$121,(2055-Inputs!$B$9)=2035,Inputs!$B$122,(2055-Inputs!$B$9)=2036,Inputs!$B$123,(2055-Inputs!$B$9)=2037,Inputs!$B$124,(2055-Inputs!$B$9)=2038,Inputs!$B$125,(2055-Inputs!$B$9)=2039,Inputs!$B$126,(2055-Inputs!$B$9)=2040,Inputs!$B$127)))</f>
        <v>148.436079084391</v>
      </c>
      <c r="AH28" s="19" t="n">
        <f aca="false">IF((2056-Inputs!$B$9)&lt;2028,0,IF((2056-Inputs!$B$9)&gt;2040,Inputs!$B$127*(1+Inputs!$B$166)^((2056-Inputs!$B$9)-2040),_xlfn.IFS((2056-Inputs!$B$9)=2028,Inputs!$B$115,(2056-Inputs!$B$9)=2029,Inputs!$B$116,(2056-Inputs!$B$9)=2030,Inputs!$B$117,(2056-Inputs!$B$9)=2031,Inputs!$B$118,(2056-Inputs!$B$9)=2032,Inputs!$B$119,(2056-Inputs!$B$9)=2033,Inputs!$B$120,(2056-Inputs!$B$9)=2034,Inputs!$B$121,(2056-Inputs!$B$9)=2035,Inputs!$B$122,(2056-Inputs!$B$9)=2036,Inputs!$B$123,(2056-Inputs!$B$9)=2037,Inputs!$B$124,(2056-Inputs!$B$9)=2038,Inputs!$B$125,(2056-Inputs!$B$9)=2039,Inputs!$B$126,(2056-Inputs!$B$9)=2040,Inputs!$B$127)))</f>
        <v>152.146981061501</v>
      </c>
      <c r="AI28" s="19" t="n">
        <f aca="false">IF((2057-Inputs!$B$9)&lt;2028,0,IF((2057-Inputs!$B$9)&gt;2040,Inputs!$B$127*(1+Inputs!$B$166)^((2057-Inputs!$B$9)-2040),_xlfn.IFS((2057-Inputs!$B$9)=2028,Inputs!$B$115,(2057-Inputs!$B$9)=2029,Inputs!$B$116,(2057-Inputs!$B$9)=2030,Inputs!$B$117,(2057-Inputs!$B$9)=2031,Inputs!$B$118,(2057-Inputs!$B$9)=2032,Inputs!$B$119,(2057-Inputs!$B$9)=2033,Inputs!$B$120,(2057-Inputs!$B$9)=2034,Inputs!$B$121,(2057-Inputs!$B$9)=2035,Inputs!$B$122,(2057-Inputs!$B$9)=2036,Inputs!$B$123,(2057-Inputs!$B$9)=2037,Inputs!$B$124,(2057-Inputs!$B$9)=2038,Inputs!$B$125,(2057-Inputs!$B$9)=2039,Inputs!$B$126,(2057-Inputs!$B$9)=2040,Inputs!$B$127)))</f>
        <v>155.950655588039</v>
      </c>
      <c r="AJ28" s="19" t="n">
        <f aca="false">IF((2058-Inputs!$B$9)&lt;2028,0,IF((2058-Inputs!$B$9)&gt;2040,Inputs!$B$127*(1+Inputs!$B$166)^((2058-Inputs!$B$9)-2040),_xlfn.IFS((2058-Inputs!$B$9)=2028,Inputs!$B$115,(2058-Inputs!$B$9)=2029,Inputs!$B$116,(2058-Inputs!$B$9)=2030,Inputs!$B$117,(2058-Inputs!$B$9)=2031,Inputs!$B$118,(2058-Inputs!$B$9)=2032,Inputs!$B$119,(2058-Inputs!$B$9)=2033,Inputs!$B$120,(2058-Inputs!$B$9)=2034,Inputs!$B$121,(2058-Inputs!$B$9)=2035,Inputs!$B$122,(2058-Inputs!$B$9)=2036,Inputs!$B$123,(2058-Inputs!$B$9)=2037,Inputs!$B$124,(2058-Inputs!$B$9)=2038,Inputs!$B$125,(2058-Inputs!$B$9)=2039,Inputs!$B$126,(2058-Inputs!$B$9)=2040,Inputs!$B$127)))</f>
        <v>159.849421977739</v>
      </c>
      <c r="AK28" s="19" t="n">
        <f aca="false">IF((2059-Inputs!$B$9)&lt;2028,0,IF((2059-Inputs!$B$9)&gt;2040,Inputs!$B$127*(1+Inputs!$B$166)^((2059-Inputs!$B$9)-2040),_xlfn.IFS((2059-Inputs!$B$9)=2028,Inputs!$B$115,(2059-Inputs!$B$9)=2029,Inputs!$B$116,(2059-Inputs!$B$9)=2030,Inputs!$B$117,(2059-Inputs!$B$9)=2031,Inputs!$B$118,(2059-Inputs!$B$9)=2032,Inputs!$B$119,(2059-Inputs!$B$9)=2033,Inputs!$B$120,(2059-Inputs!$B$9)=2034,Inputs!$B$121,(2059-Inputs!$B$9)=2035,Inputs!$B$122,(2059-Inputs!$B$9)=2036,Inputs!$B$123,(2059-Inputs!$B$9)=2037,Inputs!$B$124,(2059-Inputs!$B$9)=2038,Inputs!$B$125,(2059-Inputs!$B$9)=2039,Inputs!$B$126,(2059-Inputs!$B$9)=2040,Inputs!$B$127)))</f>
        <v>163.845657527183</v>
      </c>
      <c r="AL28" s="19" t="n">
        <f aca="false">IF((2060-Inputs!$B$9)&lt;2028,0,IF((2060-Inputs!$B$9)&gt;2040,Inputs!$B$127*(1+Inputs!$B$166)^((2060-Inputs!$B$9)-2040),_xlfn.IFS((2060-Inputs!$B$9)=2028,Inputs!$B$115,(2060-Inputs!$B$9)=2029,Inputs!$B$116,(2060-Inputs!$B$9)=2030,Inputs!$B$117,(2060-Inputs!$B$9)=2031,Inputs!$B$118,(2060-Inputs!$B$9)=2032,Inputs!$B$119,(2060-Inputs!$B$9)=2033,Inputs!$B$120,(2060-Inputs!$B$9)=2034,Inputs!$B$121,(2060-Inputs!$B$9)=2035,Inputs!$B$122,(2060-Inputs!$B$9)=2036,Inputs!$B$123,(2060-Inputs!$B$9)=2037,Inputs!$B$124,(2060-Inputs!$B$9)=2038,Inputs!$B$125,(2060-Inputs!$B$9)=2039,Inputs!$B$126,(2060-Inputs!$B$9)=2040,Inputs!$B$127)))</f>
        <v>167.941798965363</v>
      </c>
      <c r="AM28" s="19" t="n">
        <f aca="false">IF((2061-Inputs!$B$9)&lt;2028,0,IF((2061-Inputs!$B$9)&gt;2040,Inputs!$B$127*(1+Inputs!$B$166)^((2061-Inputs!$B$9)-2040),_xlfn.IFS((2061-Inputs!$B$9)=2028,Inputs!$B$115,(2061-Inputs!$B$9)=2029,Inputs!$B$116,(2061-Inputs!$B$9)=2030,Inputs!$B$117,(2061-Inputs!$B$9)=2031,Inputs!$B$118,(2061-Inputs!$B$9)=2032,Inputs!$B$119,(2061-Inputs!$B$9)=2033,Inputs!$B$120,(2061-Inputs!$B$9)=2034,Inputs!$B$121,(2061-Inputs!$B$9)=2035,Inputs!$B$122,(2061-Inputs!$B$9)=2036,Inputs!$B$123,(2061-Inputs!$B$9)=2037,Inputs!$B$124,(2061-Inputs!$B$9)=2038,Inputs!$B$125,(2061-Inputs!$B$9)=2039,Inputs!$B$126,(2061-Inputs!$B$9)=2040,Inputs!$B$127)))</f>
        <v>172.140343939497</v>
      </c>
      <c r="AN28" s="19" t="n">
        <f aca="false">IF((2062-Inputs!$B$9)&lt;2028,0,IF((2062-Inputs!$B$9)&gt;2040,Inputs!$B$127*(1+Inputs!$B$166)^((2062-Inputs!$B$9)-2040),_xlfn.IFS((2062-Inputs!$B$9)=2028,Inputs!$B$115,(2062-Inputs!$B$9)=2029,Inputs!$B$116,(2062-Inputs!$B$9)=2030,Inputs!$B$117,(2062-Inputs!$B$9)=2031,Inputs!$B$118,(2062-Inputs!$B$9)=2032,Inputs!$B$119,(2062-Inputs!$B$9)=2033,Inputs!$B$120,(2062-Inputs!$B$9)=2034,Inputs!$B$121,(2062-Inputs!$B$9)=2035,Inputs!$B$122,(2062-Inputs!$B$9)=2036,Inputs!$B$123,(2062-Inputs!$B$9)=2037,Inputs!$B$124,(2062-Inputs!$B$9)=2038,Inputs!$B$125,(2062-Inputs!$B$9)=2039,Inputs!$B$126,(2062-Inputs!$B$9)=2040,Inputs!$B$127)))</f>
        <v>176.443852537984</v>
      </c>
      <c r="AO28" s="19" t="n">
        <f aca="false">IF((2063-Inputs!$B$9)&lt;2028,0,IF((2063-Inputs!$B$9)&gt;2040,Inputs!$B$127*(1+Inputs!$B$166)^((2063-Inputs!$B$9)-2040),_xlfn.IFS((2063-Inputs!$B$9)=2028,Inputs!$B$115,(2063-Inputs!$B$9)=2029,Inputs!$B$116,(2063-Inputs!$B$9)=2030,Inputs!$B$117,(2063-Inputs!$B$9)=2031,Inputs!$B$118,(2063-Inputs!$B$9)=2032,Inputs!$B$119,(2063-Inputs!$B$9)=2033,Inputs!$B$120,(2063-Inputs!$B$9)=2034,Inputs!$B$121,(2063-Inputs!$B$9)=2035,Inputs!$B$122,(2063-Inputs!$B$9)=2036,Inputs!$B$123,(2063-Inputs!$B$9)=2037,Inputs!$B$124,(2063-Inputs!$B$9)=2038,Inputs!$B$125,(2063-Inputs!$B$9)=2039,Inputs!$B$126,(2063-Inputs!$B$9)=2040,Inputs!$B$127)))</f>
        <v>180.854948851434</v>
      </c>
      <c r="AP28" s="19" t="n">
        <f aca="false">IF((2064-Inputs!$B$9)&lt;2028,0,IF((2064-Inputs!$B$9)&gt;2040,Inputs!$B$127*(1+Inputs!$B$166)^((2064-Inputs!$B$9)-2040),_xlfn.IFS((2064-Inputs!$B$9)=2028,Inputs!$B$115,(2064-Inputs!$B$9)=2029,Inputs!$B$116,(2064-Inputs!$B$9)=2030,Inputs!$B$117,(2064-Inputs!$B$9)=2031,Inputs!$B$118,(2064-Inputs!$B$9)=2032,Inputs!$B$119,(2064-Inputs!$B$9)=2033,Inputs!$B$120,(2064-Inputs!$B$9)=2034,Inputs!$B$121,(2064-Inputs!$B$9)=2035,Inputs!$B$122,(2064-Inputs!$B$9)=2036,Inputs!$B$123,(2064-Inputs!$B$9)=2037,Inputs!$B$124,(2064-Inputs!$B$9)=2038,Inputs!$B$125,(2064-Inputs!$B$9)=2039,Inputs!$B$126,(2064-Inputs!$B$9)=2040,Inputs!$B$127)))</f>
        <v>185.376322572719</v>
      </c>
      <c r="AQ28" s="19" t="n">
        <f aca="false">IF((2065-Inputs!$B$9)&lt;2028,0,IF((2065-Inputs!$B$9)&gt;2040,Inputs!$B$127*(1+Inputs!$B$166)^((2065-Inputs!$B$9)-2040),_xlfn.IFS((2065-Inputs!$B$9)=2028,Inputs!$B$115,(2065-Inputs!$B$9)=2029,Inputs!$B$116,(2065-Inputs!$B$9)=2030,Inputs!$B$117,(2065-Inputs!$B$9)=2031,Inputs!$B$118,(2065-Inputs!$B$9)=2032,Inputs!$B$119,(2065-Inputs!$B$9)=2033,Inputs!$B$120,(2065-Inputs!$B$9)=2034,Inputs!$B$121,(2065-Inputs!$B$9)=2035,Inputs!$B$122,(2065-Inputs!$B$9)=2036,Inputs!$B$123,(2065-Inputs!$B$9)=2037,Inputs!$B$124,(2065-Inputs!$B$9)=2038,Inputs!$B$125,(2065-Inputs!$B$9)=2039,Inputs!$B$126,(2065-Inputs!$B$9)=2040,Inputs!$B$127)))</f>
        <v>190.010730637037</v>
      </c>
      <c r="AR28" s="19" t="n">
        <f aca="false">IF((2066-Inputs!$B$9)&lt;2028,0,IF((2066-Inputs!$B$9)&gt;2040,Inputs!$B$127*(1+Inputs!$B$166)^((2066-Inputs!$B$9)-2040),_xlfn.IFS((2066-Inputs!$B$9)=2028,Inputs!$B$115,(2066-Inputs!$B$9)=2029,Inputs!$B$116,(2066-Inputs!$B$9)=2030,Inputs!$B$117,(2066-Inputs!$B$9)=2031,Inputs!$B$118,(2066-Inputs!$B$9)=2032,Inputs!$B$119,(2066-Inputs!$B$9)=2033,Inputs!$B$120,(2066-Inputs!$B$9)=2034,Inputs!$B$121,(2066-Inputs!$B$9)=2035,Inputs!$B$122,(2066-Inputs!$B$9)=2036,Inputs!$B$123,(2066-Inputs!$B$9)=2037,Inputs!$B$124,(2066-Inputs!$B$9)=2038,Inputs!$B$125,(2066-Inputs!$B$9)=2039,Inputs!$B$126,(2066-Inputs!$B$9)=2040,Inputs!$B$127)))</f>
        <v>194.760998902963</v>
      </c>
      <c r="AS28" s="19" t="n">
        <f aca="false">IF((2067-Inputs!$B$9)&lt;2028,0,IF((2067-Inputs!$B$9)&gt;2040,Inputs!$B$127*(1+Inputs!$B$166)^((2067-Inputs!$B$9)-2040),_xlfn.IFS((2067-Inputs!$B$9)=2028,Inputs!$B$115,(2067-Inputs!$B$9)=2029,Inputs!$B$116,(2067-Inputs!$B$9)=2030,Inputs!$B$117,(2067-Inputs!$B$9)=2031,Inputs!$B$118,(2067-Inputs!$B$9)=2032,Inputs!$B$119,(2067-Inputs!$B$9)=2033,Inputs!$B$120,(2067-Inputs!$B$9)=2034,Inputs!$B$121,(2067-Inputs!$B$9)=2035,Inputs!$B$122,(2067-Inputs!$B$9)=2036,Inputs!$B$123,(2067-Inputs!$B$9)=2037,Inputs!$B$124,(2067-Inputs!$B$9)=2038,Inputs!$B$125,(2067-Inputs!$B$9)=2039,Inputs!$B$126,(2067-Inputs!$B$9)=2040,Inputs!$B$127)))</f>
        <v>199.630023875537</v>
      </c>
      <c r="AT28" s="19" t="n">
        <f aca="false">IF((2068-Inputs!$B$9)&lt;2028,0,IF((2068-Inputs!$B$9)&gt;2040,Inputs!$B$127*(1+Inputs!$B$166)^((2068-Inputs!$B$9)-2040),_xlfn.IFS((2068-Inputs!$B$9)=2028,Inputs!$B$115,(2068-Inputs!$B$9)=2029,Inputs!$B$116,(2068-Inputs!$B$9)=2030,Inputs!$B$117,(2068-Inputs!$B$9)=2031,Inputs!$B$118,(2068-Inputs!$B$9)=2032,Inputs!$B$119,(2068-Inputs!$B$9)=2033,Inputs!$B$120,(2068-Inputs!$B$9)=2034,Inputs!$B$121,(2068-Inputs!$B$9)=2035,Inputs!$B$122,(2068-Inputs!$B$9)=2036,Inputs!$B$123,(2068-Inputs!$B$9)=2037,Inputs!$B$124,(2068-Inputs!$B$9)=2038,Inputs!$B$125,(2068-Inputs!$B$9)=2039,Inputs!$B$126,(2068-Inputs!$B$9)=2040,Inputs!$B$127)))</f>
        <v>204.620774472426</v>
      </c>
      <c r="AU28" s="19" t="n">
        <f aca="false">IF((2069-Inputs!$B$9)&lt;2028,0,IF((2069-Inputs!$B$9)&gt;2040,Inputs!$B$127*(1+Inputs!$B$166)^((2069-Inputs!$B$9)-2040),_xlfn.IFS((2069-Inputs!$B$9)=2028,Inputs!$B$115,(2069-Inputs!$B$9)=2029,Inputs!$B$116,(2069-Inputs!$B$9)=2030,Inputs!$B$117,(2069-Inputs!$B$9)=2031,Inputs!$B$118,(2069-Inputs!$B$9)=2032,Inputs!$B$119,(2069-Inputs!$B$9)=2033,Inputs!$B$120,(2069-Inputs!$B$9)=2034,Inputs!$B$121,(2069-Inputs!$B$9)=2035,Inputs!$B$122,(2069-Inputs!$B$9)=2036,Inputs!$B$123,(2069-Inputs!$B$9)=2037,Inputs!$B$124,(2069-Inputs!$B$9)=2038,Inputs!$B$125,(2069-Inputs!$B$9)=2039,Inputs!$B$126,(2069-Inputs!$B$9)=2040,Inputs!$B$127)))</f>
        <v>209.736293834236</v>
      </c>
      <c r="AV28" s="19" t="n">
        <f aca="false">IF((2070-Inputs!$B$9)&lt;2028,0,IF((2070-Inputs!$B$9)&gt;2040,Inputs!$B$127*(1+Inputs!$B$166)^((2070-Inputs!$B$9)-2040),_xlfn.IFS((2070-Inputs!$B$9)=2028,Inputs!$B$115,(2070-Inputs!$B$9)=2029,Inputs!$B$116,(2070-Inputs!$B$9)=2030,Inputs!$B$117,(2070-Inputs!$B$9)=2031,Inputs!$B$118,(2070-Inputs!$B$9)=2032,Inputs!$B$119,(2070-Inputs!$B$9)=2033,Inputs!$B$120,(2070-Inputs!$B$9)=2034,Inputs!$B$121,(2070-Inputs!$B$9)=2035,Inputs!$B$122,(2070-Inputs!$B$9)=2036,Inputs!$B$123,(2070-Inputs!$B$9)=2037,Inputs!$B$124,(2070-Inputs!$B$9)=2038,Inputs!$B$125,(2070-Inputs!$B$9)=2039,Inputs!$B$126,(2070-Inputs!$B$9)=2040,Inputs!$B$127)))</f>
        <v>214.979701180092</v>
      </c>
      <c r="AW28" s="19" t="n">
        <f aca="false">IF((2071-Inputs!$B$9)&lt;2028,0,IF((2071-Inputs!$B$9)&gt;2040,Inputs!$B$127*(1+Inputs!$B$166)^((2071-Inputs!$B$9)-2040),_xlfn.IFS((2071-Inputs!$B$9)=2028,Inputs!$B$115,(2071-Inputs!$B$9)=2029,Inputs!$B$116,(2071-Inputs!$B$9)=2030,Inputs!$B$117,(2071-Inputs!$B$9)=2031,Inputs!$B$118,(2071-Inputs!$B$9)=2032,Inputs!$B$119,(2071-Inputs!$B$9)=2033,Inputs!$B$120,(2071-Inputs!$B$9)=2034,Inputs!$B$121,(2071-Inputs!$B$9)=2035,Inputs!$B$122,(2071-Inputs!$B$9)=2036,Inputs!$B$123,(2071-Inputs!$B$9)=2037,Inputs!$B$124,(2071-Inputs!$B$9)=2038,Inputs!$B$125,(2071-Inputs!$B$9)=2039,Inputs!$B$126,(2071-Inputs!$B$9)=2040,Inputs!$B$127)))</f>
        <v>220.354193709595</v>
      </c>
      <c r="AX28" s="19" t="n">
        <f aca="false">IF((2072-Inputs!$B$9)&lt;2028,0,IF((2072-Inputs!$B$9)&gt;2040,Inputs!$B$127*(1+Inputs!$B$166)^((2072-Inputs!$B$9)-2040),_xlfn.IFS((2072-Inputs!$B$9)=2028,Inputs!$B$115,(2072-Inputs!$B$9)=2029,Inputs!$B$116,(2072-Inputs!$B$9)=2030,Inputs!$B$117,(2072-Inputs!$B$9)=2031,Inputs!$B$118,(2072-Inputs!$B$9)=2032,Inputs!$B$119,(2072-Inputs!$B$9)=2033,Inputs!$B$120,(2072-Inputs!$B$9)=2034,Inputs!$B$121,(2072-Inputs!$B$9)=2035,Inputs!$B$122,(2072-Inputs!$B$9)=2036,Inputs!$B$123,(2072-Inputs!$B$9)=2037,Inputs!$B$124,(2072-Inputs!$B$9)=2038,Inputs!$B$125,(2072-Inputs!$B$9)=2039,Inputs!$B$126,(2072-Inputs!$B$9)=2040,Inputs!$B$127)))</f>
        <v>225.863048552334</v>
      </c>
      <c r="AY28" s="19" t="n">
        <f aca="false">IF((2073-Inputs!$B$9)&lt;2028,0,IF((2073-Inputs!$B$9)&gt;2040,Inputs!$B$127*(1+Inputs!$B$166)^((2073-Inputs!$B$9)-2040),_xlfn.IFS((2073-Inputs!$B$9)=2028,Inputs!$B$115,(2073-Inputs!$B$9)=2029,Inputs!$B$116,(2073-Inputs!$B$9)=2030,Inputs!$B$117,(2073-Inputs!$B$9)=2031,Inputs!$B$118,(2073-Inputs!$B$9)=2032,Inputs!$B$119,(2073-Inputs!$B$9)=2033,Inputs!$B$120,(2073-Inputs!$B$9)=2034,Inputs!$B$121,(2073-Inputs!$B$9)=2035,Inputs!$B$122,(2073-Inputs!$B$9)=2036,Inputs!$B$123,(2073-Inputs!$B$9)=2037,Inputs!$B$124,(2073-Inputs!$B$9)=2038,Inputs!$B$125,(2073-Inputs!$B$9)=2039,Inputs!$B$126,(2073-Inputs!$B$9)=2040,Inputs!$B$127)))</f>
        <v>231.509624766143</v>
      </c>
      <c r="AZ28" s="19" t="n">
        <f aca="false">IF((2074-Inputs!$B$9)&lt;2028,0,IF((2074-Inputs!$B$9)&gt;2040,Inputs!$B$127*(1+Inputs!$B$166)^((2074-Inputs!$B$9)-2040),_xlfn.IFS((2074-Inputs!$B$9)=2028,Inputs!$B$115,(2074-Inputs!$B$9)=2029,Inputs!$B$116,(2074-Inputs!$B$9)=2030,Inputs!$B$117,(2074-Inputs!$B$9)=2031,Inputs!$B$118,(2074-Inputs!$B$9)=2032,Inputs!$B$119,(2074-Inputs!$B$9)=2033,Inputs!$B$120,(2074-Inputs!$B$9)=2034,Inputs!$B$121,(2074-Inputs!$B$9)=2035,Inputs!$B$122,(2074-Inputs!$B$9)=2036,Inputs!$B$123,(2074-Inputs!$B$9)=2037,Inputs!$B$124,(2074-Inputs!$B$9)=2038,Inputs!$B$125,(2074-Inputs!$B$9)=2039,Inputs!$B$126,(2074-Inputs!$B$9)=2040,Inputs!$B$127)))</f>
        <v>237.297365385296</v>
      </c>
    </row>
    <row r="29" customFormat="false" ht="15" hidden="false" customHeight="true" outlineLevel="0" collapsed="false">
      <c r="A29" s="13" t="s">
        <v>623</v>
      </c>
      <c r="D29" s="19" t="n">
        <f aca="false">IF((2026-Inputs!$B$9)&lt;2028,0,IF((2026-Inputs!$B$9)&gt;2040,Inputs!$B$140*(1+Inputs!$B$166)^((2026-Inputs!$B$9)-2040),_xlfn.IFS((2026-Inputs!$B$9)=2028,Inputs!$B$128,(2026-Inputs!$B$9)=2029,Inputs!$B$129,(2026-Inputs!$B$9)=2030,Inputs!$B$130,(2026-Inputs!$B$9)=2031,Inputs!$B$131,(2026-Inputs!$B$9)=2032,Inputs!$B$132,(2026-Inputs!$B$9)=2033,Inputs!$B$133,(2026-Inputs!$B$9)=2034,Inputs!$B$134,(2026-Inputs!$B$9)=2035,Inputs!$B$135,(2026-Inputs!$B$9)=2036,Inputs!$B$136,(2026-Inputs!$B$9)=2037,Inputs!$B$137,(2026-Inputs!$B$9)=2038,Inputs!$B$138,(2026-Inputs!$B$9)=2039,Inputs!$B$139,(2026-Inputs!$B$9)=2040,Inputs!$B$140)))</f>
        <v>0</v>
      </c>
      <c r="E29" s="19" t="n">
        <f aca="false">IF((2027-Inputs!$B$9)&lt;2028,0,IF((2027-Inputs!$B$9)&gt;2040,Inputs!$B$140*(1+Inputs!$B$166)^((2027-Inputs!$B$9)-2040),_xlfn.IFS((2027-Inputs!$B$9)=2028,Inputs!$B$128,(2027-Inputs!$B$9)=2029,Inputs!$B$129,(2027-Inputs!$B$9)=2030,Inputs!$B$130,(2027-Inputs!$B$9)=2031,Inputs!$B$131,(2027-Inputs!$B$9)=2032,Inputs!$B$132,(2027-Inputs!$B$9)=2033,Inputs!$B$133,(2027-Inputs!$B$9)=2034,Inputs!$B$134,(2027-Inputs!$B$9)=2035,Inputs!$B$135,(2027-Inputs!$B$9)=2036,Inputs!$B$136,(2027-Inputs!$B$9)=2037,Inputs!$B$137,(2027-Inputs!$B$9)=2038,Inputs!$B$138,(2027-Inputs!$B$9)=2039,Inputs!$B$139,(2027-Inputs!$B$9)=2040,Inputs!$B$140)))</f>
        <v>0</v>
      </c>
      <c r="F29" s="19" t="n">
        <f aca="false">IF((2028-Inputs!$B$9)&lt;2028,0,IF((2028-Inputs!$B$9)&gt;2040,Inputs!$B$140*(1+Inputs!$B$166)^((2028-Inputs!$B$9)-2040),_xlfn.IFS((2028-Inputs!$B$9)=2028,Inputs!$B$128,(2028-Inputs!$B$9)=2029,Inputs!$B$129,(2028-Inputs!$B$9)=2030,Inputs!$B$130,(2028-Inputs!$B$9)=2031,Inputs!$B$131,(2028-Inputs!$B$9)=2032,Inputs!$B$132,(2028-Inputs!$B$9)=2033,Inputs!$B$133,(2028-Inputs!$B$9)=2034,Inputs!$B$134,(2028-Inputs!$B$9)=2035,Inputs!$B$135,(2028-Inputs!$B$9)=2036,Inputs!$B$136,(2028-Inputs!$B$9)=2037,Inputs!$B$137,(2028-Inputs!$B$9)=2038,Inputs!$B$138,(2028-Inputs!$B$9)=2039,Inputs!$B$139,(2028-Inputs!$B$9)=2040,Inputs!$B$140)))</f>
        <v>91.91</v>
      </c>
      <c r="G29" s="19" t="n">
        <f aca="false">IF((2029-Inputs!$B$9)&lt;2028,0,IF((2029-Inputs!$B$9)&gt;2040,Inputs!$B$140*(1+Inputs!$B$166)^((2029-Inputs!$B$9)-2040),_xlfn.IFS((2029-Inputs!$B$9)=2028,Inputs!$B$128,(2029-Inputs!$B$9)=2029,Inputs!$B$129,(2029-Inputs!$B$9)=2030,Inputs!$B$130,(2029-Inputs!$B$9)=2031,Inputs!$B$131,(2029-Inputs!$B$9)=2032,Inputs!$B$132,(2029-Inputs!$B$9)=2033,Inputs!$B$133,(2029-Inputs!$B$9)=2034,Inputs!$B$134,(2029-Inputs!$B$9)=2035,Inputs!$B$135,(2029-Inputs!$B$9)=2036,Inputs!$B$136,(2029-Inputs!$B$9)=2037,Inputs!$B$137,(2029-Inputs!$B$9)=2038,Inputs!$B$138,(2029-Inputs!$B$9)=2039,Inputs!$B$139,(2029-Inputs!$B$9)=2040,Inputs!$B$140)))</f>
        <v>95.06</v>
      </c>
      <c r="H29" s="19" t="n">
        <f aca="false">IF((2030-Inputs!$B$9)&lt;2028,0,IF((2030-Inputs!$B$9)&gt;2040,Inputs!$B$140*(1+Inputs!$B$166)^((2030-Inputs!$B$9)-2040),_xlfn.IFS((2030-Inputs!$B$9)=2028,Inputs!$B$128,(2030-Inputs!$B$9)=2029,Inputs!$B$129,(2030-Inputs!$B$9)=2030,Inputs!$B$130,(2030-Inputs!$B$9)=2031,Inputs!$B$131,(2030-Inputs!$B$9)=2032,Inputs!$B$132,(2030-Inputs!$B$9)=2033,Inputs!$B$133,(2030-Inputs!$B$9)=2034,Inputs!$B$134,(2030-Inputs!$B$9)=2035,Inputs!$B$135,(2030-Inputs!$B$9)=2036,Inputs!$B$136,(2030-Inputs!$B$9)=2037,Inputs!$B$137,(2030-Inputs!$B$9)=2038,Inputs!$B$138,(2030-Inputs!$B$9)=2039,Inputs!$B$139,(2030-Inputs!$B$9)=2040,Inputs!$B$140)))</f>
        <v>97.4</v>
      </c>
      <c r="I29" s="19" t="n">
        <f aca="false">IF((2031-Inputs!$B$9)&lt;2028,0,IF((2031-Inputs!$B$9)&gt;2040,Inputs!$B$140*(1+Inputs!$B$166)^((2031-Inputs!$B$9)-2040),_xlfn.IFS((2031-Inputs!$B$9)=2028,Inputs!$B$128,(2031-Inputs!$B$9)=2029,Inputs!$B$129,(2031-Inputs!$B$9)=2030,Inputs!$B$130,(2031-Inputs!$B$9)=2031,Inputs!$B$131,(2031-Inputs!$B$9)=2032,Inputs!$B$132,(2031-Inputs!$B$9)=2033,Inputs!$B$133,(2031-Inputs!$B$9)=2034,Inputs!$B$134,(2031-Inputs!$B$9)=2035,Inputs!$B$135,(2031-Inputs!$B$9)=2036,Inputs!$B$136,(2031-Inputs!$B$9)=2037,Inputs!$B$137,(2031-Inputs!$B$9)=2038,Inputs!$B$138,(2031-Inputs!$B$9)=2039,Inputs!$B$139,(2031-Inputs!$B$9)=2040,Inputs!$B$140)))</f>
        <v>98.85</v>
      </c>
      <c r="J29" s="19" t="n">
        <f aca="false">IF((2032-Inputs!$B$9)&lt;2028,0,IF((2032-Inputs!$B$9)&gt;2040,Inputs!$B$140*(1+Inputs!$B$166)^((2032-Inputs!$B$9)-2040),_xlfn.IFS((2032-Inputs!$B$9)=2028,Inputs!$B$128,(2032-Inputs!$B$9)=2029,Inputs!$B$129,(2032-Inputs!$B$9)=2030,Inputs!$B$130,(2032-Inputs!$B$9)=2031,Inputs!$B$131,(2032-Inputs!$B$9)=2032,Inputs!$B$132,(2032-Inputs!$B$9)=2033,Inputs!$B$133,(2032-Inputs!$B$9)=2034,Inputs!$B$134,(2032-Inputs!$B$9)=2035,Inputs!$B$135,(2032-Inputs!$B$9)=2036,Inputs!$B$136,(2032-Inputs!$B$9)=2037,Inputs!$B$137,(2032-Inputs!$B$9)=2038,Inputs!$B$138,(2032-Inputs!$B$9)=2039,Inputs!$B$139,(2032-Inputs!$B$9)=2040,Inputs!$B$140)))</f>
        <v>101.06</v>
      </c>
      <c r="K29" s="19" t="n">
        <f aca="false">IF((2033-Inputs!$B$9)&lt;2028,0,IF((2033-Inputs!$B$9)&gt;2040,Inputs!$B$140*(1+Inputs!$B$166)^((2033-Inputs!$B$9)-2040),_xlfn.IFS((2033-Inputs!$B$9)=2028,Inputs!$B$128,(2033-Inputs!$B$9)=2029,Inputs!$B$129,(2033-Inputs!$B$9)=2030,Inputs!$B$130,(2033-Inputs!$B$9)=2031,Inputs!$B$131,(2033-Inputs!$B$9)=2032,Inputs!$B$132,(2033-Inputs!$B$9)=2033,Inputs!$B$133,(2033-Inputs!$B$9)=2034,Inputs!$B$134,(2033-Inputs!$B$9)=2035,Inputs!$B$135,(2033-Inputs!$B$9)=2036,Inputs!$B$136,(2033-Inputs!$B$9)=2037,Inputs!$B$137,(2033-Inputs!$B$9)=2038,Inputs!$B$138,(2033-Inputs!$B$9)=2039,Inputs!$B$139,(2033-Inputs!$B$9)=2040,Inputs!$B$140)))</f>
        <v>103.33</v>
      </c>
      <c r="L29" s="19" t="n">
        <f aca="false">IF((2034-Inputs!$B$9)&lt;2028,0,IF((2034-Inputs!$B$9)&gt;2040,Inputs!$B$140*(1+Inputs!$B$166)^((2034-Inputs!$B$9)-2040),_xlfn.IFS((2034-Inputs!$B$9)=2028,Inputs!$B$128,(2034-Inputs!$B$9)=2029,Inputs!$B$129,(2034-Inputs!$B$9)=2030,Inputs!$B$130,(2034-Inputs!$B$9)=2031,Inputs!$B$131,(2034-Inputs!$B$9)=2032,Inputs!$B$132,(2034-Inputs!$B$9)=2033,Inputs!$B$133,(2034-Inputs!$B$9)=2034,Inputs!$B$134,(2034-Inputs!$B$9)=2035,Inputs!$B$135,(2034-Inputs!$B$9)=2036,Inputs!$B$136,(2034-Inputs!$B$9)=2037,Inputs!$B$137,(2034-Inputs!$B$9)=2038,Inputs!$B$138,(2034-Inputs!$B$9)=2039,Inputs!$B$139,(2034-Inputs!$B$9)=2040,Inputs!$B$140)))</f>
        <v>105.64</v>
      </c>
      <c r="M29" s="19" t="n">
        <f aca="false">IF((2035-Inputs!$B$9)&lt;2028,0,IF((2035-Inputs!$B$9)&gt;2040,Inputs!$B$140*(1+Inputs!$B$166)^((2035-Inputs!$B$9)-2040),_xlfn.IFS((2035-Inputs!$B$9)=2028,Inputs!$B$128,(2035-Inputs!$B$9)=2029,Inputs!$B$129,(2035-Inputs!$B$9)=2030,Inputs!$B$130,(2035-Inputs!$B$9)=2031,Inputs!$B$131,(2035-Inputs!$B$9)=2032,Inputs!$B$132,(2035-Inputs!$B$9)=2033,Inputs!$B$133,(2035-Inputs!$B$9)=2034,Inputs!$B$134,(2035-Inputs!$B$9)=2035,Inputs!$B$135,(2035-Inputs!$B$9)=2036,Inputs!$B$136,(2035-Inputs!$B$9)=2037,Inputs!$B$137,(2035-Inputs!$B$9)=2038,Inputs!$B$138,(2035-Inputs!$B$9)=2039,Inputs!$B$139,(2035-Inputs!$B$9)=2040,Inputs!$B$140)))</f>
        <v>108.02</v>
      </c>
      <c r="N29" s="19" t="n">
        <f aca="false">IF((2036-Inputs!$B$9)&lt;2028,0,IF((2036-Inputs!$B$9)&gt;2040,Inputs!$B$140*(1+Inputs!$B$166)^((2036-Inputs!$B$9)-2040),_xlfn.IFS((2036-Inputs!$B$9)=2028,Inputs!$B$128,(2036-Inputs!$B$9)=2029,Inputs!$B$129,(2036-Inputs!$B$9)=2030,Inputs!$B$130,(2036-Inputs!$B$9)=2031,Inputs!$B$131,(2036-Inputs!$B$9)=2032,Inputs!$B$132,(2036-Inputs!$B$9)=2033,Inputs!$B$133,(2036-Inputs!$B$9)=2034,Inputs!$B$134,(2036-Inputs!$B$9)=2035,Inputs!$B$135,(2036-Inputs!$B$9)=2036,Inputs!$B$136,(2036-Inputs!$B$9)=2037,Inputs!$B$137,(2036-Inputs!$B$9)=2038,Inputs!$B$138,(2036-Inputs!$B$9)=2039,Inputs!$B$139,(2036-Inputs!$B$9)=2040,Inputs!$B$140)))</f>
        <v>110.45</v>
      </c>
      <c r="O29" s="19" t="n">
        <f aca="false">IF((2037-Inputs!$B$9)&lt;2028,0,IF((2037-Inputs!$B$9)&gt;2040,Inputs!$B$140*(1+Inputs!$B$166)^((2037-Inputs!$B$9)-2040),_xlfn.IFS((2037-Inputs!$B$9)=2028,Inputs!$B$128,(2037-Inputs!$B$9)=2029,Inputs!$B$129,(2037-Inputs!$B$9)=2030,Inputs!$B$130,(2037-Inputs!$B$9)=2031,Inputs!$B$131,(2037-Inputs!$B$9)=2032,Inputs!$B$132,(2037-Inputs!$B$9)=2033,Inputs!$B$133,(2037-Inputs!$B$9)=2034,Inputs!$B$134,(2037-Inputs!$B$9)=2035,Inputs!$B$135,(2037-Inputs!$B$9)=2036,Inputs!$B$136,(2037-Inputs!$B$9)=2037,Inputs!$B$137,(2037-Inputs!$B$9)=2038,Inputs!$B$138,(2037-Inputs!$B$9)=2039,Inputs!$B$139,(2037-Inputs!$B$9)=2040,Inputs!$B$140)))</f>
        <v>112.94</v>
      </c>
      <c r="P29" s="19" t="n">
        <f aca="false">IF((2038-Inputs!$B$9)&lt;2028,0,IF((2038-Inputs!$B$9)&gt;2040,Inputs!$B$140*(1+Inputs!$B$166)^((2038-Inputs!$B$9)-2040),_xlfn.IFS((2038-Inputs!$B$9)=2028,Inputs!$B$128,(2038-Inputs!$B$9)=2029,Inputs!$B$129,(2038-Inputs!$B$9)=2030,Inputs!$B$130,(2038-Inputs!$B$9)=2031,Inputs!$B$131,(2038-Inputs!$B$9)=2032,Inputs!$B$132,(2038-Inputs!$B$9)=2033,Inputs!$B$133,(2038-Inputs!$B$9)=2034,Inputs!$B$134,(2038-Inputs!$B$9)=2035,Inputs!$B$135,(2038-Inputs!$B$9)=2036,Inputs!$B$136,(2038-Inputs!$B$9)=2037,Inputs!$B$137,(2038-Inputs!$B$9)=2038,Inputs!$B$138,(2038-Inputs!$B$9)=2039,Inputs!$B$139,(2038-Inputs!$B$9)=2040,Inputs!$B$140)))</f>
        <v>115.5</v>
      </c>
      <c r="Q29" s="19" t="n">
        <f aca="false">IF((2039-Inputs!$B$9)&lt;2028,0,IF((2039-Inputs!$B$9)&gt;2040,Inputs!$B$140*(1+Inputs!$B$166)^((2039-Inputs!$B$9)-2040),_xlfn.IFS((2039-Inputs!$B$9)=2028,Inputs!$B$128,(2039-Inputs!$B$9)=2029,Inputs!$B$129,(2039-Inputs!$B$9)=2030,Inputs!$B$130,(2039-Inputs!$B$9)=2031,Inputs!$B$131,(2039-Inputs!$B$9)=2032,Inputs!$B$132,(2039-Inputs!$B$9)=2033,Inputs!$B$133,(2039-Inputs!$B$9)=2034,Inputs!$B$134,(2039-Inputs!$B$9)=2035,Inputs!$B$135,(2039-Inputs!$B$9)=2036,Inputs!$B$136,(2039-Inputs!$B$9)=2037,Inputs!$B$137,(2039-Inputs!$B$9)=2038,Inputs!$B$138,(2039-Inputs!$B$9)=2039,Inputs!$B$139,(2039-Inputs!$B$9)=2040,Inputs!$B$140)))</f>
        <v>118.11</v>
      </c>
      <c r="R29" s="19" t="n">
        <f aca="false">IF((2040-Inputs!$B$9)&lt;2028,0,IF((2040-Inputs!$B$9)&gt;2040,Inputs!$B$140*(1+Inputs!$B$166)^((2040-Inputs!$B$9)-2040),_xlfn.IFS((2040-Inputs!$B$9)=2028,Inputs!$B$128,(2040-Inputs!$B$9)=2029,Inputs!$B$129,(2040-Inputs!$B$9)=2030,Inputs!$B$130,(2040-Inputs!$B$9)=2031,Inputs!$B$131,(2040-Inputs!$B$9)=2032,Inputs!$B$132,(2040-Inputs!$B$9)=2033,Inputs!$B$133,(2040-Inputs!$B$9)=2034,Inputs!$B$134,(2040-Inputs!$B$9)=2035,Inputs!$B$135,(2040-Inputs!$B$9)=2036,Inputs!$B$136,(2040-Inputs!$B$9)=2037,Inputs!$B$137,(2040-Inputs!$B$9)=2038,Inputs!$B$138,(2040-Inputs!$B$9)=2039,Inputs!$B$139,(2040-Inputs!$B$9)=2040,Inputs!$B$140)))</f>
        <v>120.79</v>
      </c>
      <c r="S29" s="19" t="n">
        <f aca="false">IF((2041-Inputs!$B$9)&lt;2028,0,IF((2041-Inputs!$B$9)&gt;2040,Inputs!$B$140*(1+Inputs!$B$166)^((2041-Inputs!$B$9)-2040),_xlfn.IFS((2041-Inputs!$B$9)=2028,Inputs!$B$128,(2041-Inputs!$B$9)=2029,Inputs!$B$129,(2041-Inputs!$B$9)=2030,Inputs!$B$130,(2041-Inputs!$B$9)=2031,Inputs!$B$131,(2041-Inputs!$B$9)=2032,Inputs!$B$132,(2041-Inputs!$B$9)=2033,Inputs!$B$133,(2041-Inputs!$B$9)=2034,Inputs!$B$134,(2041-Inputs!$B$9)=2035,Inputs!$B$135,(2041-Inputs!$B$9)=2036,Inputs!$B$136,(2041-Inputs!$B$9)=2037,Inputs!$B$137,(2041-Inputs!$B$9)=2038,Inputs!$B$138,(2041-Inputs!$B$9)=2039,Inputs!$B$139,(2041-Inputs!$B$9)=2040,Inputs!$B$140)))</f>
        <v>123.80975</v>
      </c>
      <c r="T29" s="19" t="n">
        <f aca="false">IF((2042-Inputs!$B$9)&lt;2028,0,IF((2042-Inputs!$B$9)&gt;2040,Inputs!$B$140*(1+Inputs!$B$166)^((2042-Inputs!$B$9)-2040),_xlfn.IFS((2042-Inputs!$B$9)=2028,Inputs!$B$128,(2042-Inputs!$B$9)=2029,Inputs!$B$129,(2042-Inputs!$B$9)=2030,Inputs!$B$130,(2042-Inputs!$B$9)=2031,Inputs!$B$131,(2042-Inputs!$B$9)=2032,Inputs!$B$132,(2042-Inputs!$B$9)=2033,Inputs!$B$133,(2042-Inputs!$B$9)=2034,Inputs!$B$134,(2042-Inputs!$B$9)=2035,Inputs!$B$135,(2042-Inputs!$B$9)=2036,Inputs!$B$136,(2042-Inputs!$B$9)=2037,Inputs!$B$137,(2042-Inputs!$B$9)=2038,Inputs!$B$138,(2042-Inputs!$B$9)=2039,Inputs!$B$139,(2042-Inputs!$B$9)=2040,Inputs!$B$140)))</f>
        <v>126.90499375</v>
      </c>
      <c r="U29" s="19" t="n">
        <f aca="false">IF((2043-Inputs!$B$9)&lt;2028,0,IF((2043-Inputs!$B$9)&gt;2040,Inputs!$B$140*(1+Inputs!$B$166)^((2043-Inputs!$B$9)-2040),_xlfn.IFS((2043-Inputs!$B$9)=2028,Inputs!$B$128,(2043-Inputs!$B$9)=2029,Inputs!$B$129,(2043-Inputs!$B$9)=2030,Inputs!$B$130,(2043-Inputs!$B$9)=2031,Inputs!$B$131,(2043-Inputs!$B$9)=2032,Inputs!$B$132,(2043-Inputs!$B$9)=2033,Inputs!$B$133,(2043-Inputs!$B$9)=2034,Inputs!$B$134,(2043-Inputs!$B$9)=2035,Inputs!$B$135,(2043-Inputs!$B$9)=2036,Inputs!$B$136,(2043-Inputs!$B$9)=2037,Inputs!$B$137,(2043-Inputs!$B$9)=2038,Inputs!$B$138,(2043-Inputs!$B$9)=2039,Inputs!$B$139,(2043-Inputs!$B$9)=2040,Inputs!$B$140)))</f>
        <v>130.07761859375</v>
      </c>
      <c r="V29" s="19" t="n">
        <f aca="false">IF((2044-Inputs!$B$9)&lt;2028,0,IF((2044-Inputs!$B$9)&gt;2040,Inputs!$B$140*(1+Inputs!$B$166)^((2044-Inputs!$B$9)-2040),_xlfn.IFS((2044-Inputs!$B$9)=2028,Inputs!$B$128,(2044-Inputs!$B$9)=2029,Inputs!$B$129,(2044-Inputs!$B$9)=2030,Inputs!$B$130,(2044-Inputs!$B$9)=2031,Inputs!$B$131,(2044-Inputs!$B$9)=2032,Inputs!$B$132,(2044-Inputs!$B$9)=2033,Inputs!$B$133,(2044-Inputs!$B$9)=2034,Inputs!$B$134,(2044-Inputs!$B$9)=2035,Inputs!$B$135,(2044-Inputs!$B$9)=2036,Inputs!$B$136,(2044-Inputs!$B$9)=2037,Inputs!$B$137,(2044-Inputs!$B$9)=2038,Inputs!$B$138,(2044-Inputs!$B$9)=2039,Inputs!$B$139,(2044-Inputs!$B$9)=2040,Inputs!$B$140)))</f>
        <v>133.329559058594</v>
      </c>
      <c r="W29" s="19" t="n">
        <f aca="false">IF((2045-Inputs!$B$9)&lt;2028,0,IF((2045-Inputs!$B$9)&gt;2040,Inputs!$B$140*(1+Inputs!$B$166)^((2045-Inputs!$B$9)-2040),_xlfn.IFS((2045-Inputs!$B$9)=2028,Inputs!$B$128,(2045-Inputs!$B$9)=2029,Inputs!$B$129,(2045-Inputs!$B$9)=2030,Inputs!$B$130,(2045-Inputs!$B$9)=2031,Inputs!$B$131,(2045-Inputs!$B$9)=2032,Inputs!$B$132,(2045-Inputs!$B$9)=2033,Inputs!$B$133,(2045-Inputs!$B$9)=2034,Inputs!$B$134,(2045-Inputs!$B$9)=2035,Inputs!$B$135,(2045-Inputs!$B$9)=2036,Inputs!$B$136,(2045-Inputs!$B$9)=2037,Inputs!$B$137,(2045-Inputs!$B$9)=2038,Inputs!$B$138,(2045-Inputs!$B$9)=2039,Inputs!$B$139,(2045-Inputs!$B$9)=2040,Inputs!$B$140)))</f>
        <v>136.662798035059</v>
      </c>
      <c r="X29" s="19" t="n">
        <f aca="false">IF((2046-Inputs!$B$9)&lt;2028,0,IF((2046-Inputs!$B$9)&gt;2040,Inputs!$B$140*(1+Inputs!$B$166)^((2046-Inputs!$B$9)-2040),_xlfn.IFS((2046-Inputs!$B$9)=2028,Inputs!$B$128,(2046-Inputs!$B$9)=2029,Inputs!$B$129,(2046-Inputs!$B$9)=2030,Inputs!$B$130,(2046-Inputs!$B$9)=2031,Inputs!$B$131,(2046-Inputs!$B$9)=2032,Inputs!$B$132,(2046-Inputs!$B$9)=2033,Inputs!$B$133,(2046-Inputs!$B$9)=2034,Inputs!$B$134,(2046-Inputs!$B$9)=2035,Inputs!$B$135,(2046-Inputs!$B$9)=2036,Inputs!$B$136,(2046-Inputs!$B$9)=2037,Inputs!$B$137,(2046-Inputs!$B$9)=2038,Inputs!$B$138,(2046-Inputs!$B$9)=2039,Inputs!$B$139,(2046-Inputs!$B$9)=2040,Inputs!$B$140)))</f>
        <v>140.079367985935</v>
      </c>
      <c r="Y29" s="19" t="n">
        <f aca="false">IF((2047-Inputs!$B$9)&lt;2028,0,IF((2047-Inputs!$B$9)&gt;2040,Inputs!$B$140*(1+Inputs!$B$166)^((2047-Inputs!$B$9)-2040),_xlfn.IFS((2047-Inputs!$B$9)=2028,Inputs!$B$128,(2047-Inputs!$B$9)=2029,Inputs!$B$129,(2047-Inputs!$B$9)=2030,Inputs!$B$130,(2047-Inputs!$B$9)=2031,Inputs!$B$131,(2047-Inputs!$B$9)=2032,Inputs!$B$132,(2047-Inputs!$B$9)=2033,Inputs!$B$133,(2047-Inputs!$B$9)=2034,Inputs!$B$134,(2047-Inputs!$B$9)=2035,Inputs!$B$135,(2047-Inputs!$B$9)=2036,Inputs!$B$136,(2047-Inputs!$B$9)=2037,Inputs!$B$137,(2047-Inputs!$B$9)=2038,Inputs!$B$138,(2047-Inputs!$B$9)=2039,Inputs!$B$139,(2047-Inputs!$B$9)=2040,Inputs!$B$140)))</f>
        <v>143.581352185583</v>
      </c>
      <c r="Z29" s="19" t="n">
        <f aca="false">IF((2048-Inputs!$B$9)&lt;2028,0,IF((2048-Inputs!$B$9)&gt;2040,Inputs!$B$140*(1+Inputs!$B$166)^((2048-Inputs!$B$9)-2040),_xlfn.IFS((2048-Inputs!$B$9)=2028,Inputs!$B$128,(2048-Inputs!$B$9)=2029,Inputs!$B$129,(2048-Inputs!$B$9)=2030,Inputs!$B$130,(2048-Inputs!$B$9)=2031,Inputs!$B$131,(2048-Inputs!$B$9)=2032,Inputs!$B$132,(2048-Inputs!$B$9)=2033,Inputs!$B$133,(2048-Inputs!$B$9)=2034,Inputs!$B$134,(2048-Inputs!$B$9)=2035,Inputs!$B$135,(2048-Inputs!$B$9)=2036,Inputs!$B$136,(2048-Inputs!$B$9)=2037,Inputs!$B$137,(2048-Inputs!$B$9)=2038,Inputs!$B$138,(2048-Inputs!$B$9)=2039,Inputs!$B$139,(2048-Inputs!$B$9)=2040,Inputs!$B$140)))</f>
        <v>147.170885990223</v>
      </c>
      <c r="AA29" s="19" t="n">
        <f aca="false">IF((2049-Inputs!$B$9)&lt;2028,0,IF((2049-Inputs!$B$9)&gt;2040,Inputs!$B$140*(1+Inputs!$B$166)^((2049-Inputs!$B$9)-2040),_xlfn.IFS((2049-Inputs!$B$9)=2028,Inputs!$B$128,(2049-Inputs!$B$9)=2029,Inputs!$B$129,(2049-Inputs!$B$9)=2030,Inputs!$B$130,(2049-Inputs!$B$9)=2031,Inputs!$B$131,(2049-Inputs!$B$9)=2032,Inputs!$B$132,(2049-Inputs!$B$9)=2033,Inputs!$B$133,(2049-Inputs!$B$9)=2034,Inputs!$B$134,(2049-Inputs!$B$9)=2035,Inputs!$B$135,(2049-Inputs!$B$9)=2036,Inputs!$B$136,(2049-Inputs!$B$9)=2037,Inputs!$B$137,(2049-Inputs!$B$9)=2038,Inputs!$B$138,(2049-Inputs!$B$9)=2039,Inputs!$B$139,(2049-Inputs!$B$9)=2040,Inputs!$B$140)))</f>
        <v>150.850158139978</v>
      </c>
      <c r="AB29" s="19" t="n">
        <f aca="false">IF((2050-Inputs!$B$9)&lt;2028,0,IF((2050-Inputs!$B$9)&gt;2040,Inputs!$B$140*(1+Inputs!$B$166)^((2050-Inputs!$B$9)-2040),_xlfn.IFS((2050-Inputs!$B$9)=2028,Inputs!$B$128,(2050-Inputs!$B$9)=2029,Inputs!$B$129,(2050-Inputs!$B$9)=2030,Inputs!$B$130,(2050-Inputs!$B$9)=2031,Inputs!$B$131,(2050-Inputs!$B$9)=2032,Inputs!$B$132,(2050-Inputs!$B$9)=2033,Inputs!$B$133,(2050-Inputs!$B$9)=2034,Inputs!$B$134,(2050-Inputs!$B$9)=2035,Inputs!$B$135,(2050-Inputs!$B$9)=2036,Inputs!$B$136,(2050-Inputs!$B$9)=2037,Inputs!$B$137,(2050-Inputs!$B$9)=2038,Inputs!$B$138,(2050-Inputs!$B$9)=2039,Inputs!$B$139,(2050-Inputs!$B$9)=2040,Inputs!$B$140)))</f>
        <v>154.621412093478</v>
      </c>
      <c r="AC29" s="19" t="n">
        <f aca="false">IF((2051-Inputs!$B$9)&lt;2028,0,IF((2051-Inputs!$B$9)&gt;2040,Inputs!$B$140*(1+Inputs!$B$166)^((2051-Inputs!$B$9)-2040),_xlfn.IFS((2051-Inputs!$B$9)=2028,Inputs!$B$128,(2051-Inputs!$B$9)=2029,Inputs!$B$129,(2051-Inputs!$B$9)=2030,Inputs!$B$130,(2051-Inputs!$B$9)=2031,Inputs!$B$131,(2051-Inputs!$B$9)=2032,Inputs!$B$132,(2051-Inputs!$B$9)=2033,Inputs!$B$133,(2051-Inputs!$B$9)=2034,Inputs!$B$134,(2051-Inputs!$B$9)=2035,Inputs!$B$135,(2051-Inputs!$B$9)=2036,Inputs!$B$136,(2051-Inputs!$B$9)=2037,Inputs!$B$137,(2051-Inputs!$B$9)=2038,Inputs!$B$138,(2051-Inputs!$B$9)=2039,Inputs!$B$139,(2051-Inputs!$B$9)=2040,Inputs!$B$140)))</f>
        <v>158.486947395815</v>
      </c>
      <c r="AD29" s="19" t="n">
        <f aca="false">IF((2052-Inputs!$B$9)&lt;2028,0,IF((2052-Inputs!$B$9)&gt;2040,Inputs!$B$140*(1+Inputs!$B$166)^((2052-Inputs!$B$9)-2040),_xlfn.IFS((2052-Inputs!$B$9)=2028,Inputs!$B$128,(2052-Inputs!$B$9)=2029,Inputs!$B$129,(2052-Inputs!$B$9)=2030,Inputs!$B$130,(2052-Inputs!$B$9)=2031,Inputs!$B$131,(2052-Inputs!$B$9)=2032,Inputs!$B$132,(2052-Inputs!$B$9)=2033,Inputs!$B$133,(2052-Inputs!$B$9)=2034,Inputs!$B$134,(2052-Inputs!$B$9)=2035,Inputs!$B$135,(2052-Inputs!$B$9)=2036,Inputs!$B$136,(2052-Inputs!$B$9)=2037,Inputs!$B$137,(2052-Inputs!$B$9)=2038,Inputs!$B$138,(2052-Inputs!$B$9)=2039,Inputs!$B$139,(2052-Inputs!$B$9)=2040,Inputs!$B$140)))</f>
        <v>162.44912108071</v>
      </c>
      <c r="AE29" s="19" t="n">
        <f aca="false">IF((2053-Inputs!$B$9)&lt;2028,0,IF((2053-Inputs!$B$9)&gt;2040,Inputs!$B$140*(1+Inputs!$B$166)^((2053-Inputs!$B$9)-2040),_xlfn.IFS((2053-Inputs!$B$9)=2028,Inputs!$B$128,(2053-Inputs!$B$9)=2029,Inputs!$B$129,(2053-Inputs!$B$9)=2030,Inputs!$B$130,(2053-Inputs!$B$9)=2031,Inputs!$B$131,(2053-Inputs!$B$9)=2032,Inputs!$B$132,(2053-Inputs!$B$9)=2033,Inputs!$B$133,(2053-Inputs!$B$9)=2034,Inputs!$B$134,(2053-Inputs!$B$9)=2035,Inputs!$B$135,(2053-Inputs!$B$9)=2036,Inputs!$B$136,(2053-Inputs!$B$9)=2037,Inputs!$B$137,(2053-Inputs!$B$9)=2038,Inputs!$B$138,(2053-Inputs!$B$9)=2039,Inputs!$B$139,(2053-Inputs!$B$9)=2040,Inputs!$B$140)))</f>
        <v>166.510349107728</v>
      </c>
      <c r="AF29" s="19" t="n">
        <f aca="false">IF((2054-Inputs!$B$9)&lt;2028,0,IF((2054-Inputs!$B$9)&gt;2040,Inputs!$B$140*(1+Inputs!$B$166)^((2054-Inputs!$B$9)-2040),_xlfn.IFS((2054-Inputs!$B$9)=2028,Inputs!$B$128,(2054-Inputs!$B$9)=2029,Inputs!$B$129,(2054-Inputs!$B$9)=2030,Inputs!$B$130,(2054-Inputs!$B$9)=2031,Inputs!$B$131,(2054-Inputs!$B$9)=2032,Inputs!$B$132,(2054-Inputs!$B$9)=2033,Inputs!$B$133,(2054-Inputs!$B$9)=2034,Inputs!$B$134,(2054-Inputs!$B$9)=2035,Inputs!$B$135,(2054-Inputs!$B$9)=2036,Inputs!$B$136,(2054-Inputs!$B$9)=2037,Inputs!$B$137,(2054-Inputs!$B$9)=2038,Inputs!$B$138,(2054-Inputs!$B$9)=2039,Inputs!$B$139,(2054-Inputs!$B$9)=2040,Inputs!$B$140)))</f>
        <v>170.673107835421</v>
      </c>
      <c r="AG29" s="19" t="n">
        <f aca="false">IF((2055-Inputs!$B$9)&lt;2028,0,IF((2055-Inputs!$B$9)&gt;2040,Inputs!$B$140*(1+Inputs!$B$166)^((2055-Inputs!$B$9)-2040),_xlfn.IFS((2055-Inputs!$B$9)=2028,Inputs!$B$128,(2055-Inputs!$B$9)=2029,Inputs!$B$129,(2055-Inputs!$B$9)=2030,Inputs!$B$130,(2055-Inputs!$B$9)=2031,Inputs!$B$131,(2055-Inputs!$B$9)=2032,Inputs!$B$132,(2055-Inputs!$B$9)=2033,Inputs!$B$133,(2055-Inputs!$B$9)=2034,Inputs!$B$134,(2055-Inputs!$B$9)=2035,Inputs!$B$135,(2055-Inputs!$B$9)=2036,Inputs!$B$136,(2055-Inputs!$B$9)=2037,Inputs!$B$137,(2055-Inputs!$B$9)=2038,Inputs!$B$138,(2055-Inputs!$B$9)=2039,Inputs!$B$139,(2055-Inputs!$B$9)=2040,Inputs!$B$140)))</f>
        <v>174.939935531307</v>
      </c>
      <c r="AH29" s="19" t="n">
        <f aca="false">IF((2056-Inputs!$B$9)&lt;2028,0,IF((2056-Inputs!$B$9)&gt;2040,Inputs!$B$140*(1+Inputs!$B$166)^((2056-Inputs!$B$9)-2040),_xlfn.IFS((2056-Inputs!$B$9)=2028,Inputs!$B$128,(2056-Inputs!$B$9)=2029,Inputs!$B$129,(2056-Inputs!$B$9)=2030,Inputs!$B$130,(2056-Inputs!$B$9)=2031,Inputs!$B$131,(2056-Inputs!$B$9)=2032,Inputs!$B$132,(2056-Inputs!$B$9)=2033,Inputs!$B$133,(2056-Inputs!$B$9)=2034,Inputs!$B$134,(2056-Inputs!$B$9)=2035,Inputs!$B$135,(2056-Inputs!$B$9)=2036,Inputs!$B$136,(2056-Inputs!$B$9)=2037,Inputs!$B$137,(2056-Inputs!$B$9)=2038,Inputs!$B$138,(2056-Inputs!$B$9)=2039,Inputs!$B$139,(2056-Inputs!$B$9)=2040,Inputs!$B$140)))</f>
        <v>179.313433919589</v>
      </c>
      <c r="AI29" s="19" t="n">
        <f aca="false">IF((2057-Inputs!$B$9)&lt;2028,0,IF((2057-Inputs!$B$9)&gt;2040,Inputs!$B$140*(1+Inputs!$B$166)^((2057-Inputs!$B$9)-2040),_xlfn.IFS((2057-Inputs!$B$9)=2028,Inputs!$B$128,(2057-Inputs!$B$9)=2029,Inputs!$B$129,(2057-Inputs!$B$9)=2030,Inputs!$B$130,(2057-Inputs!$B$9)=2031,Inputs!$B$131,(2057-Inputs!$B$9)=2032,Inputs!$B$132,(2057-Inputs!$B$9)=2033,Inputs!$B$133,(2057-Inputs!$B$9)=2034,Inputs!$B$134,(2057-Inputs!$B$9)=2035,Inputs!$B$135,(2057-Inputs!$B$9)=2036,Inputs!$B$136,(2057-Inputs!$B$9)=2037,Inputs!$B$137,(2057-Inputs!$B$9)=2038,Inputs!$B$138,(2057-Inputs!$B$9)=2039,Inputs!$B$139,(2057-Inputs!$B$9)=2040,Inputs!$B$140)))</f>
        <v>183.796269767579</v>
      </c>
      <c r="AJ29" s="19" t="n">
        <f aca="false">IF((2058-Inputs!$B$9)&lt;2028,0,IF((2058-Inputs!$B$9)&gt;2040,Inputs!$B$140*(1+Inputs!$B$166)^((2058-Inputs!$B$9)-2040),_xlfn.IFS((2058-Inputs!$B$9)=2028,Inputs!$B$128,(2058-Inputs!$B$9)=2029,Inputs!$B$129,(2058-Inputs!$B$9)=2030,Inputs!$B$130,(2058-Inputs!$B$9)=2031,Inputs!$B$131,(2058-Inputs!$B$9)=2032,Inputs!$B$132,(2058-Inputs!$B$9)=2033,Inputs!$B$133,(2058-Inputs!$B$9)=2034,Inputs!$B$134,(2058-Inputs!$B$9)=2035,Inputs!$B$135,(2058-Inputs!$B$9)=2036,Inputs!$B$136,(2058-Inputs!$B$9)=2037,Inputs!$B$137,(2058-Inputs!$B$9)=2038,Inputs!$B$138,(2058-Inputs!$B$9)=2039,Inputs!$B$139,(2058-Inputs!$B$9)=2040,Inputs!$B$140)))</f>
        <v>188.391176511769</v>
      </c>
      <c r="AK29" s="19" t="n">
        <f aca="false">IF((2059-Inputs!$B$9)&lt;2028,0,IF((2059-Inputs!$B$9)&gt;2040,Inputs!$B$140*(1+Inputs!$B$166)^((2059-Inputs!$B$9)-2040),_xlfn.IFS((2059-Inputs!$B$9)=2028,Inputs!$B$128,(2059-Inputs!$B$9)=2029,Inputs!$B$129,(2059-Inputs!$B$9)=2030,Inputs!$B$130,(2059-Inputs!$B$9)=2031,Inputs!$B$131,(2059-Inputs!$B$9)=2032,Inputs!$B$132,(2059-Inputs!$B$9)=2033,Inputs!$B$133,(2059-Inputs!$B$9)=2034,Inputs!$B$134,(2059-Inputs!$B$9)=2035,Inputs!$B$135,(2059-Inputs!$B$9)=2036,Inputs!$B$136,(2059-Inputs!$B$9)=2037,Inputs!$B$137,(2059-Inputs!$B$9)=2038,Inputs!$B$138,(2059-Inputs!$B$9)=2039,Inputs!$B$139,(2059-Inputs!$B$9)=2040,Inputs!$B$140)))</f>
        <v>193.100955924563</v>
      </c>
      <c r="AL29" s="19" t="n">
        <f aca="false">IF((2060-Inputs!$B$9)&lt;2028,0,IF((2060-Inputs!$B$9)&gt;2040,Inputs!$B$140*(1+Inputs!$B$166)^((2060-Inputs!$B$9)-2040),_xlfn.IFS((2060-Inputs!$B$9)=2028,Inputs!$B$128,(2060-Inputs!$B$9)=2029,Inputs!$B$129,(2060-Inputs!$B$9)=2030,Inputs!$B$130,(2060-Inputs!$B$9)=2031,Inputs!$B$131,(2060-Inputs!$B$9)=2032,Inputs!$B$132,(2060-Inputs!$B$9)=2033,Inputs!$B$133,(2060-Inputs!$B$9)=2034,Inputs!$B$134,(2060-Inputs!$B$9)=2035,Inputs!$B$135,(2060-Inputs!$B$9)=2036,Inputs!$B$136,(2060-Inputs!$B$9)=2037,Inputs!$B$137,(2060-Inputs!$B$9)=2038,Inputs!$B$138,(2060-Inputs!$B$9)=2039,Inputs!$B$139,(2060-Inputs!$B$9)=2040,Inputs!$B$140)))</f>
        <v>197.928479822677</v>
      </c>
      <c r="AM29" s="19" t="n">
        <f aca="false">IF((2061-Inputs!$B$9)&lt;2028,0,IF((2061-Inputs!$B$9)&gt;2040,Inputs!$B$140*(1+Inputs!$B$166)^((2061-Inputs!$B$9)-2040),_xlfn.IFS((2061-Inputs!$B$9)=2028,Inputs!$B$128,(2061-Inputs!$B$9)=2029,Inputs!$B$129,(2061-Inputs!$B$9)=2030,Inputs!$B$130,(2061-Inputs!$B$9)=2031,Inputs!$B$131,(2061-Inputs!$B$9)=2032,Inputs!$B$132,(2061-Inputs!$B$9)=2033,Inputs!$B$133,(2061-Inputs!$B$9)=2034,Inputs!$B$134,(2061-Inputs!$B$9)=2035,Inputs!$B$135,(2061-Inputs!$B$9)=2036,Inputs!$B$136,(2061-Inputs!$B$9)=2037,Inputs!$B$137,(2061-Inputs!$B$9)=2038,Inputs!$B$138,(2061-Inputs!$B$9)=2039,Inputs!$B$139,(2061-Inputs!$B$9)=2040,Inputs!$B$140)))</f>
        <v>202.876691818244</v>
      </c>
      <c r="AN29" s="19" t="n">
        <f aca="false">IF((2062-Inputs!$B$9)&lt;2028,0,IF((2062-Inputs!$B$9)&gt;2040,Inputs!$B$140*(1+Inputs!$B$166)^((2062-Inputs!$B$9)-2040),_xlfn.IFS((2062-Inputs!$B$9)=2028,Inputs!$B$128,(2062-Inputs!$B$9)=2029,Inputs!$B$129,(2062-Inputs!$B$9)=2030,Inputs!$B$130,(2062-Inputs!$B$9)=2031,Inputs!$B$131,(2062-Inputs!$B$9)=2032,Inputs!$B$132,(2062-Inputs!$B$9)=2033,Inputs!$B$133,(2062-Inputs!$B$9)=2034,Inputs!$B$134,(2062-Inputs!$B$9)=2035,Inputs!$B$135,(2062-Inputs!$B$9)=2036,Inputs!$B$136,(2062-Inputs!$B$9)=2037,Inputs!$B$137,(2062-Inputs!$B$9)=2038,Inputs!$B$138,(2062-Inputs!$B$9)=2039,Inputs!$B$139,(2062-Inputs!$B$9)=2040,Inputs!$B$140)))</f>
        <v>207.9486091137</v>
      </c>
      <c r="AO29" s="19" t="n">
        <f aca="false">IF((2063-Inputs!$B$9)&lt;2028,0,IF((2063-Inputs!$B$9)&gt;2040,Inputs!$B$140*(1+Inputs!$B$166)^((2063-Inputs!$B$9)-2040),_xlfn.IFS((2063-Inputs!$B$9)=2028,Inputs!$B$128,(2063-Inputs!$B$9)=2029,Inputs!$B$129,(2063-Inputs!$B$9)=2030,Inputs!$B$130,(2063-Inputs!$B$9)=2031,Inputs!$B$131,(2063-Inputs!$B$9)=2032,Inputs!$B$132,(2063-Inputs!$B$9)=2033,Inputs!$B$133,(2063-Inputs!$B$9)=2034,Inputs!$B$134,(2063-Inputs!$B$9)=2035,Inputs!$B$135,(2063-Inputs!$B$9)=2036,Inputs!$B$136,(2063-Inputs!$B$9)=2037,Inputs!$B$137,(2063-Inputs!$B$9)=2038,Inputs!$B$138,(2063-Inputs!$B$9)=2039,Inputs!$B$139,(2063-Inputs!$B$9)=2040,Inputs!$B$140)))</f>
        <v>213.147324341542</v>
      </c>
      <c r="AP29" s="19" t="n">
        <f aca="false">IF((2064-Inputs!$B$9)&lt;2028,0,IF((2064-Inputs!$B$9)&gt;2040,Inputs!$B$140*(1+Inputs!$B$166)^((2064-Inputs!$B$9)-2040),_xlfn.IFS((2064-Inputs!$B$9)=2028,Inputs!$B$128,(2064-Inputs!$B$9)=2029,Inputs!$B$129,(2064-Inputs!$B$9)=2030,Inputs!$B$130,(2064-Inputs!$B$9)=2031,Inputs!$B$131,(2064-Inputs!$B$9)=2032,Inputs!$B$132,(2064-Inputs!$B$9)=2033,Inputs!$B$133,(2064-Inputs!$B$9)=2034,Inputs!$B$134,(2064-Inputs!$B$9)=2035,Inputs!$B$135,(2064-Inputs!$B$9)=2036,Inputs!$B$136,(2064-Inputs!$B$9)=2037,Inputs!$B$137,(2064-Inputs!$B$9)=2038,Inputs!$B$138,(2064-Inputs!$B$9)=2039,Inputs!$B$139,(2064-Inputs!$B$9)=2040,Inputs!$B$140)))</f>
        <v>218.476007450081</v>
      </c>
      <c r="AQ29" s="19" t="n">
        <f aca="false">IF((2065-Inputs!$B$9)&lt;2028,0,IF((2065-Inputs!$B$9)&gt;2040,Inputs!$B$140*(1+Inputs!$B$166)^((2065-Inputs!$B$9)-2040),_xlfn.IFS((2065-Inputs!$B$9)=2028,Inputs!$B$128,(2065-Inputs!$B$9)=2029,Inputs!$B$129,(2065-Inputs!$B$9)=2030,Inputs!$B$130,(2065-Inputs!$B$9)=2031,Inputs!$B$131,(2065-Inputs!$B$9)=2032,Inputs!$B$132,(2065-Inputs!$B$9)=2033,Inputs!$B$133,(2065-Inputs!$B$9)=2034,Inputs!$B$134,(2065-Inputs!$B$9)=2035,Inputs!$B$135,(2065-Inputs!$B$9)=2036,Inputs!$B$136,(2065-Inputs!$B$9)=2037,Inputs!$B$137,(2065-Inputs!$B$9)=2038,Inputs!$B$138,(2065-Inputs!$B$9)=2039,Inputs!$B$139,(2065-Inputs!$B$9)=2040,Inputs!$B$140)))</f>
        <v>223.937907636333</v>
      </c>
      <c r="AR29" s="19" t="n">
        <f aca="false">IF((2066-Inputs!$B$9)&lt;2028,0,IF((2066-Inputs!$B$9)&gt;2040,Inputs!$B$140*(1+Inputs!$B$166)^((2066-Inputs!$B$9)-2040),_xlfn.IFS((2066-Inputs!$B$9)=2028,Inputs!$B$128,(2066-Inputs!$B$9)=2029,Inputs!$B$129,(2066-Inputs!$B$9)=2030,Inputs!$B$130,(2066-Inputs!$B$9)=2031,Inputs!$B$131,(2066-Inputs!$B$9)=2032,Inputs!$B$132,(2066-Inputs!$B$9)=2033,Inputs!$B$133,(2066-Inputs!$B$9)=2034,Inputs!$B$134,(2066-Inputs!$B$9)=2035,Inputs!$B$135,(2066-Inputs!$B$9)=2036,Inputs!$B$136,(2066-Inputs!$B$9)=2037,Inputs!$B$137,(2066-Inputs!$B$9)=2038,Inputs!$B$138,(2066-Inputs!$B$9)=2039,Inputs!$B$139,(2066-Inputs!$B$9)=2040,Inputs!$B$140)))</f>
        <v>229.536355327241</v>
      </c>
      <c r="AS29" s="19" t="n">
        <f aca="false">IF((2067-Inputs!$B$9)&lt;2028,0,IF((2067-Inputs!$B$9)&gt;2040,Inputs!$B$140*(1+Inputs!$B$166)^((2067-Inputs!$B$9)-2040),_xlfn.IFS((2067-Inputs!$B$9)=2028,Inputs!$B$128,(2067-Inputs!$B$9)=2029,Inputs!$B$129,(2067-Inputs!$B$9)=2030,Inputs!$B$130,(2067-Inputs!$B$9)=2031,Inputs!$B$131,(2067-Inputs!$B$9)=2032,Inputs!$B$132,(2067-Inputs!$B$9)=2033,Inputs!$B$133,(2067-Inputs!$B$9)=2034,Inputs!$B$134,(2067-Inputs!$B$9)=2035,Inputs!$B$135,(2067-Inputs!$B$9)=2036,Inputs!$B$136,(2067-Inputs!$B$9)=2037,Inputs!$B$137,(2067-Inputs!$B$9)=2038,Inputs!$B$138,(2067-Inputs!$B$9)=2039,Inputs!$B$139,(2067-Inputs!$B$9)=2040,Inputs!$B$140)))</f>
        <v>235.274764210422</v>
      </c>
      <c r="AT29" s="19" t="n">
        <f aca="false">IF((2068-Inputs!$B$9)&lt;2028,0,IF((2068-Inputs!$B$9)&gt;2040,Inputs!$B$140*(1+Inputs!$B$166)^((2068-Inputs!$B$9)-2040),_xlfn.IFS((2068-Inputs!$B$9)=2028,Inputs!$B$128,(2068-Inputs!$B$9)=2029,Inputs!$B$129,(2068-Inputs!$B$9)=2030,Inputs!$B$130,(2068-Inputs!$B$9)=2031,Inputs!$B$131,(2068-Inputs!$B$9)=2032,Inputs!$B$132,(2068-Inputs!$B$9)=2033,Inputs!$B$133,(2068-Inputs!$B$9)=2034,Inputs!$B$134,(2068-Inputs!$B$9)=2035,Inputs!$B$135,(2068-Inputs!$B$9)=2036,Inputs!$B$136,(2068-Inputs!$B$9)=2037,Inputs!$B$137,(2068-Inputs!$B$9)=2038,Inputs!$B$138,(2068-Inputs!$B$9)=2039,Inputs!$B$139,(2068-Inputs!$B$9)=2040,Inputs!$B$140)))</f>
        <v>241.156633315683</v>
      </c>
      <c r="AU29" s="19" t="n">
        <f aca="false">IF((2069-Inputs!$B$9)&lt;2028,0,IF((2069-Inputs!$B$9)&gt;2040,Inputs!$B$140*(1+Inputs!$B$166)^((2069-Inputs!$B$9)-2040),_xlfn.IFS((2069-Inputs!$B$9)=2028,Inputs!$B$128,(2069-Inputs!$B$9)=2029,Inputs!$B$129,(2069-Inputs!$B$9)=2030,Inputs!$B$130,(2069-Inputs!$B$9)=2031,Inputs!$B$131,(2069-Inputs!$B$9)=2032,Inputs!$B$132,(2069-Inputs!$B$9)=2033,Inputs!$B$133,(2069-Inputs!$B$9)=2034,Inputs!$B$134,(2069-Inputs!$B$9)=2035,Inputs!$B$135,(2069-Inputs!$B$9)=2036,Inputs!$B$136,(2069-Inputs!$B$9)=2037,Inputs!$B$137,(2069-Inputs!$B$9)=2038,Inputs!$B$138,(2069-Inputs!$B$9)=2039,Inputs!$B$139,(2069-Inputs!$B$9)=2040,Inputs!$B$140)))</f>
        <v>247.185549148575</v>
      </c>
      <c r="AV29" s="19" t="n">
        <f aca="false">IF((2070-Inputs!$B$9)&lt;2028,0,IF((2070-Inputs!$B$9)&gt;2040,Inputs!$B$140*(1+Inputs!$B$166)^((2070-Inputs!$B$9)-2040),_xlfn.IFS((2070-Inputs!$B$9)=2028,Inputs!$B$128,(2070-Inputs!$B$9)=2029,Inputs!$B$129,(2070-Inputs!$B$9)=2030,Inputs!$B$130,(2070-Inputs!$B$9)=2031,Inputs!$B$131,(2070-Inputs!$B$9)=2032,Inputs!$B$132,(2070-Inputs!$B$9)=2033,Inputs!$B$133,(2070-Inputs!$B$9)=2034,Inputs!$B$134,(2070-Inputs!$B$9)=2035,Inputs!$B$135,(2070-Inputs!$B$9)=2036,Inputs!$B$136,(2070-Inputs!$B$9)=2037,Inputs!$B$137,(2070-Inputs!$B$9)=2038,Inputs!$B$138,(2070-Inputs!$B$9)=2039,Inputs!$B$139,(2070-Inputs!$B$9)=2040,Inputs!$B$140)))</f>
        <v>253.365187877289</v>
      </c>
      <c r="AW29" s="19" t="n">
        <f aca="false">IF((2071-Inputs!$B$9)&lt;2028,0,IF((2071-Inputs!$B$9)&gt;2040,Inputs!$B$140*(1+Inputs!$B$166)^((2071-Inputs!$B$9)-2040),_xlfn.IFS((2071-Inputs!$B$9)=2028,Inputs!$B$128,(2071-Inputs!$B$9)=2029,Inputs!$B$129,(2071-Inputs!$B$9)=2030,Inputs!$B$130,(2071-Inputs!$B$9)=2031,Inputs!$B$131,(2071-Inputs!$B$9)=2032,Inputs!$B$132,(2071-Inputs!$B$9)=2033,Inputs!$B$133,(2071-Inputs!$B$9)=2034,Inputs!$B$134,(2071-Inputs!$B$9)=2035,Inputs!$B$135,(2071-Inputs!$B$9)=2036,Inputs!$B$136,(2071-Inputs!$B$9)=2037,Inputs!$B$137,(2071-Inputs!$B$9)=2038,Inputs!$B$138,(2071-Inputs!$B$9)=2039,Inputs!$B$139,(2071-Inputs!$B$9)=2040,Inputs!$B$140)))</f>
        <v>259.699317574221</v>
      </c>
      <c r="AX29" s="19" t="n">
        <f aca="false">IF((2072-Inputs!$B$9)&lt;2028,0,IF((2072-Inputs!$B$9)&gt;2040,Inputs!$B$140*(1+Inputs!$B$166)^((2072-Inputs!$B$9)-2040),_xlfn.IFS((2072-Inputs!$B$9)=2028,Inputs!$B$128,(2072-Inputs!$B$9)=2029,Inputs!$B$129,(2072-Inputs!$B$9)=2030,Inputs!$B$130,(2072-Inputs!$B$9)=2031,Inputs!$B$131,(2072-Inputs!$B$9)=2032,Inputs!$B$132,(2072-Inputs!$B$9)=2033,Inputs!$B$133,(2072-Inputs!$B$9)=2034,Inputs!$B$134,(2072-Inputs!$B$9)=2035,Inputs!$B$135,(2072-Inputs!$B$9)=2036,Inputs!$B$136,(2072-Inputs!$B$9)=2037,Inputs!$B$137,(2072-Inputs!$B$9)=2038,Inputs!$B$138,(2072-Inputs!$B$9)=2039,Inputs!$B$139,(2072-Inputs!$B$9)=2040,Inputs!$B$140)))</f>
        <v>266.191800513577</v>
      </c>
      <c r="AY29" s="19" t="n">
        <f aca="false">IF((2073-Inputs!$B$9)&lt;2028,0,IF((2073-Inputs!$B$9)&gt;2040,Inputs!$B$140*(1+Inputs!$B$166)^((2073-Inputs!$B$9)-2040),_xlfn.IFS((2073-Inputs!$B$9)=2028,Inputs!$B$128,(2073-Inputs!$B$9)=2029,Inputs!$B$129,(2073-Inputs!$B$9)=2030,Inputs!$B$130,(2073-Inputs!$B$9)=2031,Inputs!$B$131,(2073-Inputs!$B$9)=2032,Inputs!$B$132,(2073-Inputs!$B$9)=2033,Inputs!$B$133,(2073-Inputs!$B$9)=2034,Inputs!$B$134,(2073-Inputs!$B$9)=2035,Inputs!$B$135,(2073-Inputs!$B$9)=2036,Inputs!$B$136,(2073-Inputs!$B$9)=2037,Inputs!$B$137,(2073-Inputs!$B$9)=2038,Inputs!$B$138,(2073-Inputs!$B$9)=2039,Inputs!$B$139,(2073-Inputs!$B$9)=2040,Inputs!$B$140)))</f>
        <v>272.846595526416</v>
      </c>
      <c r="AZ29" s="19" t="n">
        <f aca="false">IF((2074-Inputs!$B$9)&lt;2028,0,IF((2074-Inputs!$B$9)&gt;2040,Inputs!$B$140*(1+Inputs!$B$166)^((2074-Inputs!$B$9)-2040),_xlfn.IFS((2074-Inputs!$B$9)=2028,Inputs!$B$128,(2074-Inputs!$B$9)=2029,Inputs!$B$129,(2074-Inputs!$B$9)=2030,Inputs!$B$130,(2074-Inputs!$B$9)=2031,Inputs!$B$131,(2074-Inputs!$B$9)=2032,Inputs!$B$132,(2074-Inputs!$B$9)=2033,Inputs!$B$133,(2074-Inputs!$B$9)=2034,Inputs!$B$134,(2074-Inputs!$B$9)=2035,Inputs!$B$135,(2074-Inputs!$B$9)=2036,Inputs!$B$136,(2074-Inputs!$B$9)=2037,Inputs!$B$137,(2074-Inputs!$B$9)=2038,Inputs!$B$138,(2074-Inputs!$B$9)=2039,Inputs!$B$139,(2074-Inputs!$B$9)=2040,Inputs!$B$140)))</f>
        <v>279.667760414576</v>
      </c>
    </row>
    <row r="30" customFormat="false" ht="15" hidden="false" customHeight="true" outlineLevel="0" collapsed="false">
      <c r="A30" s="13" t="s">
        <v>624</v>
      </c>
      <c r="D30" s="41" t="n">
        <f aca="false">IF(Inputs!$B$88=2,D26,D25)</f>
        <v>0</v>
      </c>
      <c r="E30" s="41" t="n">
        <f aca="false">IF(Inputs!$B$88=2,E26,E25)</f>
        <v>0</v>
      </c>
      <c r="F30" s="41" t="n">
        <f aca="false">IF(Inputs!$B$88=2,F26,F25)</f>
        <v>104.328</v>
      </c>
      <c r="G30" s="41" t="n">
        <f aca="false">IF(Inputs!$B$88=2,G26,G25)</f>
        <v>110.519</v>
      </c>
      <c r="H30" s="41" t="n">
        <f aca="false">IF(Inputs!$B$88=2,H26,H25)</f>
        <v>115.216</v>
      </c>
      <c r="I30" s="41" t="n">
        <f aca="false">IF(Inputs!$B$88=2,I26,I25)</f>
        <v>119.075</v>
      </c>
      <c r="J30" s="41" t="n">
        <f aca="false">IF(Inputs!$B$88=2,J26,J25)</f>
        <v>125.825</v>
      </c>
      <c r="K30" s="41" t="n">
        <f aca="false">IF(Inputs!$B$88=2,K26,K25)</f>
        <v>132.794</v>
      </c>
      <c r="L30" s="41" t="n">
        <f aca="false">IF(Inputs!$B$88=2,L26,L25)</f>
        <v>140.706</v>
      </c>
      <c r="M30" s="41" t="n">
        <f aca="false">IF(Inputs!$B$88=2,M26,M25)</f>
        <v>149.264</v>
      </c>
      <c r="N30" s="41" t="n">
        <f aca="false">IF(Inputs!$B$88=2,N26,N25)</f>
        <v>156.54</v>
      </c>
      <c r="O30" s="41" t="n">
        <f aca="false">IF(Inputs!$B$88=2,O26,O25)</f>
        <v>163.825</v>
      </c>
      <c r="P30" s="41" t="n">
        <f aca="false">IF(Inputs!$B$88=2,P26,P25)</f>
        <v>171.073</v>
      </c>
      <c r="Q30" s="41" t="n">
        <f aca="false">IF(Inputs!$B$88=2,Q26,Q25)</f>
        <v>178.88</v>
      </c>
      <c r="R30" s="41" t="n">
        <f aca="false">IF(Inputs!$B$88=2,R26,R25)</f>
        <v>187.14</v>
      </c>
      <c r="S30" s="41" t="n">
        <f aca="false">IF(Inputs!$B$88=2,S26,S25)</f>
        <v>191.8185</v>
      </c>
      <c r="T30" s="41" t="n">
        <f aca="false">IF(Inputs!$B$88=2,T26,T25)</f>
        <v>196.6139625</v>
      </c>
      <c r="U30" s="41" t="n">
        <f aca="false">IF(Inputs!$B$88=2,U26,U25)</f>
        <v>201.5293115625</v>
      </c>
      <c r="V30" s="41" t="n">
        <f aca="false">IF(Inputs!$B$88=2,V26,V25)</f>
        <v>206.567544351562</v>
      </c>
      <c r="W30" s="41" t="n">
        <f aca="false">IF(Inputs!$B$88=2,W26,W25)</f>
        <v>211.731732960351</v>
      </c>
      <c r="X30" s="41" t="n">
        <f aca="false">IF(Inputs!$B$88=2,X26,X25)</f>
        <v>217.02502628436</v>
      </c>
      <c r="Y30" s="41" t="n">
        <f aca="false">IF(Inputs!$B$88=2,Y26,Y25)</f>
        <v>222.450651941469</v>
      </c>
      <c r="Z30" s="41" t="n">
        <f aca="false">IF(Inputs!$B$88=2,Z26,Z25)</f>
        <v>228.011918240006</v>
      </c>
      <c r="AA30" s="41" t="n">
        <f aca="false">IF(Inputs!$B$88=2,AA26,AA25)</f>
        <v>233.712216196006</v>
      </c>
      <c r="AB30" s="41" t="n">
        <f aca="false">IF(Inputs!$B$88=2,AB26,AB25)</f>
        <v>239.555021600906</v>
      </c>
      <c r="AC30" s="41" t="n">
        <f aca="false">IF(Inputs!$B$88=2,AC26,AC25)</f>
        <v>245.543897140929</v>
      </c>
      <c r="AD30" s="41" t="n">
        <f aca="false">IF(Inputs!$B$88=2,AD26,AD25)</f>
        <v>251.682494569452</v>
      </c>
      <c r="AE30" s="41" t="n">
        <f aca="false">IF(Inputs!$B$88=2,AE26,AE25)</f>
        <v>257.974556933688</v>
      </c>
      <c r="AF30" s="41" t="n">
        <f aca="false">IF(Inputs!$B$88=2,AF26,AF25)</f>
        <v>264.423920857031</v>
      </c>
      <c r="AG30" s="41" t="n">
        <f aca="false">IF(Inputs!$B$88=2,AG26,AG25)</f>
        <v>271.034518878456</v>
      </c>
      <c r="AH30" s="41" t="n">
        <f aca="false">IF(Inputs!$B$88=2,AH26,AH25)</f>
        <v>277.810381850418</v>
      </c>
      <c r="AI30" s="41" t="n">
        <f aca="false">IF(Inputs!$B$88=2,AI26,AI25)</f>
        <v>284.755641396678</v>
      </c>
      <c r="AJ30" s="41" t="n">
        <f aca="false">IF(Inputs!$B$88=2,AJ26,AJ25)</f>
        <v>291.874532431595</v>
      </c>
      <c r="AK30" s="41" t="n">
        <f aca="false">IF(Inputs!$B$88=2,AK26,AK25)</f>
        <v>299.171395742385</v>
      </c>
      <c r="AL30" s="41" t="n">
        <f aca="false">IF(Inputs!$B$88=2,AL26,AL25)</f>
        <v>306.650680635944</v>
      </c>
      <c r="AM30" s="41" t="n">
        <f aca="false">IF(Inputs!$B$88=2,AM26,AM25)</f>
        <v>314.316947651843</v>
      </c>
      <c r="AN30" s="41" t="n">
        <f aca="false">IF(Inputs!$B$88=2,AN26,AN25)</f>
        <v>322.174871343139</v>
      </c>
      <c r="AO30" s="41" t="n">
        <f aca="false">IF(Inputs!$B$88=2,AO26,AO25)</f>
        <v>330.229243126717</v>
      </c>
      <c r="AP30" s="41" t="n">
        <f aca="false">IF(Inputs!$B$88=2,AP26,AP25)</f>
        <v>338.484974204885</v>
      </c>
      <c r="AQ30" s="41" t="n">
        <f aca="false">IF(Inputs!$B$88=2,AQ26,AQ25)</f>
        <v>346.947098560008</v>
      </c>
      <c r="AR30" s="41" t="n">
        <f aca="false">IF(Inputs!$B$88=2,AR26,AR25)</f>
        <v>355.620776024008</v>
      </c>
      <c r="AS30" s="41" t="n">
        <f aca="false">IF(Inputs!$B$88=2,AS26,AS25)</f>
        <v>364.511295424608</v>
      </c>
      <c r="AT30" s="41" t="n">
        <f aca="false">IF(Inputs!$B$88=2,AT26,AT25)</f>
        <v>373.624077810223</v>
      </c>
      <c r="AU30" s="41" t="n">
        <f aca="false">IF(Inputs!$B$88=2,AU26,AU25)</f>
        <v>382.964679755478</v>
      </c>
      <c r="AV30" s="41" t="n">
        <f aca="false">IF(Inputs!$B$88=2,AV26,AV25)</f>
        <v>392.538796749365</v>
      </c>
      <c r="AW30" s="41" t="n">
        <f aca="false">IF(Inputs!$B$88=2,AW26,AW25)</f>
        <v>402.3522666681</v>
      </c>
      <c r="AX30" s="41" t="n">
        <f aca="false">IF(Inputs!$B$88=2,AX26,AX25)</f>
        <v>412.411073334802</v>
      </c>
      <c r="AY30" s="41" t="n">
        <f aca="false">IF(Inputs!$B$88=2,AY26,AY25)</f>
        <v>422.721350168172</v>
      </c>
      <c r="AZ30" s="41" t="n">
        <f aca="false">IF(Inputs!$B$88=2,AZ26,AZ25)</f>
        <v>433.289383922376</v>
      </c>
    </row>
    <row r="31" customFormat="false" ht="15" hidden="false" customHeight="true" outlineLevel="0" collapsed="false">
      <c r="A31" s="13" t="s">
        <v>413</v>
      </c>
      <c r="D31" s="49" t="n">
        <f aca="false">IF((2026-Inputs!$B$51-Inputs!$B$9)&lt;0,0,IF((2026-Inputs!$B$51-Inputs!$B$9)=0,Inputs!$B$52,1))</f>
        <v>0</v>
      </c>
      <c r="E31" s="49" t="n">
        <f aca="false">IF((2027-Inputs!$B$51-Inputs!$B$9)&lt;0,0,IF((2027-Inputs!$B$51-Inputs!$B$9)=0,Inputs!$B$52,1))</f>
        <v>0</v>
      </c>
      <c r="F31" s="49" t="n">
        <f aca="false">IF((2028-Inputs!$B$51-Inputs!$B$9)&lt;0,0,IF((2028-Inputs!$B$51-Inputs!$B$9)=0,Inputs!$B$52,1))</f>
        <v>0.25</v>
      </c>
      <c r="G31" s="49" t="n">
        <f aca="false">IF((2029-Inputs!$B$51-Inputs!$B$9)&lt;0,0,IF((2029-Inputs!$B$51-Inputs!$B$9)=0,Inputs!$B$52,1))</f>
        <v>1</v>
      </c>
      <c r="H31" s="49" t="n">
        <f aca="false">IF((2030-Inputs!$B$51-Inputs!$B$9)&lt;0,0,IF((2030-Inputs!$B$51-Inputs!$B$9)=0,Inputs!$B$52,1))</f>
        <v>1</v>
      </c>
      <c r="I31" s="49" t="n">
        <f aca="false">IF((2031-Inputs!$B$51-Inputs!$B$9)&lt;0,0,IF((2031-Inputs!$B$51-Inputs!$B$9)=0,Inputs!$B$52,1))</f>
        <v>1</v>
      </c>
      <c r="J31" s="49" t="n">
        <f aca="false">IF((2032-Inputs!$B$51-Inputs!$B$9)&lt;0,0,IF((2032-Inputs!$B$51-Inputs!$B$9)=0,Inputs!$B$52,1))</f>
        <v>1</v>
      </c>
      <c r="K31" s="49" t="n">
        <f aca="false">IF((2033-Inputs!$B$51-Inputs!$B$9)&lt;0,0,IF((2033-Inputs!$B$51-Inputs!$B$9)=0,Inputs!$B$52,1))</f>
        <v>1</v>
      </c>
      <c r="L31" s="49" t="n">
        <f aca="false">IF((2034-Inputs!$B$51-Inputs!$B$9)&lt;0,0,IF((2034-Inputs!$B$51-Inputs!$B$9)=0,Inputs!$B$52,1))</f>
        <v>1</v>
      </c>
      <c r="M31" s="49" t="n">
        <f aca="false">IF((2035-Inputs!$B$51-Inputs!$B$9)&lt;0,0,IF((2035-Inputs!$B$51-Inputs!$B$9)=0,Inputs!$B$52,1))</f>
        <v>1</v>
      </c>
      <c r="N31" s="49" t="n">
        <f aca="false">IF((2036-Inputs!$B$51-Inputs!$B$9)&lt;0,0,IF((2036-Inputs!$B$51-Inputs!$B$9)=0,Inputs!$B$52,1))</f>
        <v>1</v>
      </c>
      <c r="O31" s="49" t="n">
        <f aca="false">IF((2037-Inputs!$B$51-Inputs!$B$9)&lt;0,0,IF((2037-Inputs!$B$51-Inputs!$B$9)=0,Inputs!$B$52,1))</f>
        <v>1</v>
      </c>
      <c r="P31" s="49" t="n">
        <f aca="false">IF((2038-Inputs!$B$51-Inputs!$B$9)&lt;0,0,IF((2038-Inputs!$B$51-Inputs!$B$9)=0,Inputs!$B$52,1))</f>
        <v>1</v>
      </c>
      <c r="Q31" s="49" t="n">
        <f aca="false">IF((2039-Inputs!$B$51-Inputs!$B$9)&lt;0,0,IF((2039-Inputs!$B$51-Inputs!$B$9)=0,Inputs!$B$52,1))</f>
        <v>1</v>
      </c>
      <c r="R31" s="49" t="n">
        <f aca="false">IF((2040-Inputs!$B$51-Inputs!$B$9)&lt;0,0,IF((2040-Inputs!$B$51-Inputs!$B$9)=0,Inputs!$B$52,1))</f>
        <v>1</v>
      </c>
      <c r="S31" s="49" t="n">
        <f aca="false">IF((2041-Inputs!$B$51-Inputs!$B$9)&lt;0,0,IF((2041-Inputs!$B$51-Inputs!$B$9)=0,Inputs!$B$52,1))</f>
        <v>1</v>
      </c>
      <c r="T31" s="49" t="n">
        <f aca="false">IF((2042-Inputs!$B$51-Inputs!$B$9)&lt;0,0,IF((2042-Inputs!$B$51-Inputs!$B$9)=0,Inputs!$B$52,1))</f>
        <v>1</v>
      </c>
      <c r="U31" s="49" t="n">
        <f aca="false">IF((2043-Inputs!$B$51-Inputs!$B$9)&lt;0,0,IF((2043-Inputs!$B$51-Inputs!$B$9)=0,Inputs!$B$52,1))</f>
        <v>1</v>
      </c>
      <c r="V31" s="49" t="n">
        <f aca="false">IF((2044-Inputs!$B$51-Inputs!$B$9)&lt;0,0,IF((2044-Inputs!$B$51-Inputs!$B$9)=0,Inputs!$B$52,1))</f>
        <v>1</v>
      </c>
      <c r="W31" s="49" t="n">
        <f aca="false">IF((2045-Inputs!$B$51-Inputs!$B$9)&lt;0,0,IF((2045-Inputs!$B$51-Inputs!$B$9)=0,Inputs!$B$52,1))</f>
        <v>1</v>
      </c>
      <c r="X31" s="49" t="n">
        <f aca="false">IF((2046-Inputs!$B$51-Inputs!$B$9)&lt;0,0,IF((2046-Inputs!$B$51-Inputs!$B$9)=0,Inputs!$B$52,1))</f>
        <v>1</v>
      </c>
      <c r="Y31" s="49" t="n">
        <f aca="false">IF((2047-Inputs!$B$51-Inputs!$B$9)&lt;0,0,IF((2047-Inputs!$B$51-Inputs!$B$9)=0,Inputs!$B$52,1))</f>
        <v>1</v>
      </c>
      <c r="Z31" s="49" t="n">
        <f aca="false">IF((2048-Inputs!$B$51-Inputs!$B$9)&lt;0,0,IF((2048-Inputs!$B$51-Inputs!$B$9)=0,Inputs!$B$52,1))</f>
        <v>1</v>
      </c>
      <c r="AA31" s="49" t="n">
        <f aca="false">IF((2049-Inputs!$B$51-Inputs!$B$9)&lt;0,0,IF((2049-Inputs!$B$51-Inputs!$B$9)=0,Inputs!$B$52,1))</f>
        <v>1</v>
      </c>
      <c r="AB31" s="49" t="n">
        <f aca="false">IF((2050-Inputs!$B$51-Inputs!$B$9)&lt;0,0,IF((2050-Inputs!$B$51-Inputs!$B$9)=0,Inputs!$B$52,1))</f>
        <v>1</v>
      </c>
      <c r="AC31" s="49" t="n">
        <f aca="false">IF((2051-Inputs!$B$51-Inputs!$B$9)&lt;0,0,IF((2051-Inputs!$B$51-Inputs!$B$9)=0,Inputs!$B$52,1))</f>
        <v>1</v>
      </c>
      <c r="AD31" s="49" t="n">
        <f aca="false">IF((2052-Inputs!$B$51-Inputs!$B$9)&lt;0,0,IF((2052-Inputs!$B$51-Inputs!$B$9)=0,Inputs!$B$52,1))</f>
        <v>1</v>
      </c>
      <c r="AE31" s="49" t="n">
        <f aca="false">IF((2053-Inputs!$B$51-Inputs!$B$9)&lt;0,0,IF((2053-Inputs!$B$51-Inputs!$B$9)=0,Inputs!$B$52,1))</f>
        <v>1</v>
      </c>
      <c r="AF31" s="49" t="n">
        <f aca="false">IF((2054-Inputs!$B$51-Inputs!$B$9)&lt;0,0,IF((2054-Inputs!$B$51-Inputs!$B$9)=0,Inputs!$B$52,1))</f>
        <v>1</v>
      </c>
      <c r="AG31" s="49" t="n">
        <f aca="false">IF((2055-Inputs!$B$51-Inputs!$B$9)&lt;0,0,IF((2055-Inputs!$B$51-Inputs!$B$9)=0,Inputs!$B$52,1))</f>
        <v>1</v>
      </c>
      <c r="AH31" s="49" t="n">
        <f aca="false">IF((2056-Inputs!$B$51-Inputs!$B$9)&lt;0,0,IF((2056-Inputs!$B$51-Inputs!$B$9)=0,Inputs!$B$52,1))</f>
        <v>1</v>
      </c>
      <c r="AI31" s="49" t="n">
        <f aca="false">IF((2057-Inputs!$B$51-Inputs!$B$9)&lt;0,0,IF((2057-Inputs!$B$51-Inputs!$B$9)=0,Inputs!$B$52,1))</f>
        <v>1</v>
      </c>
      <c r="AJ31" s="49" t="n">
        <f aca="false">IF((2058-Inputs!$B$51-Inputs!$B$9)&lt;0,0,IF((2058-Inputs!$B$51-Inputs!$B$9)=0,Inputs!$B$52,1))</f>
        <v>1</v>
      </c>
      <c r="AK31" s="49" t="n">
        <f aca="false">IF((2059-Inputs!$B$51-Inputs!$B$9)&lt;0,0,IF((2059-Inputs!$B$51-Inputs!$B$9)=0,Inputs!$B$52,1))</f>
        <v>1</v>
      </c>
      <c r="AL31" s="49" t="n">
        <f aca="false">IF((2060-Inputs!$B$51-Inputs!$B$9)&lt;0,0,IF((2060-Inputs!$B$51-Inputs!$B$9)=0,Inputs!$B$52,1))</f>
        <v>1</v>
      </c>
      <c r="AM31" s="49" t="n">
        <f aca="false">IF((2061-Inputs!$B$51-Inputs!$B$9)&lt;0,0,IF((2061-Inputs!$B$51-Inputs!$B$9)=0,Inputs!$B$52,1))</f>
        <v>1</v>
      </c>
      <c r="AN31" s="49" t="n">
        <f aca="false">IF((2062-Inputs!$B$51-Inputs!$B$9)&lt;0,0,IF((2062-Inputs!$B$51-Inputs!$B$9)=0,Inputs!$B$52,1))</f>
        <v>1</v>
      </c>
      <c r="AO31" s="49" t="n">
        <f aca="false">IF((2063-Inputs!$B$51-Inputs!$B$9)&lt;0,0,IF((2063-Inputs!$B$51-Inputs!$B$9)=0,Inputs!$B$52,1))</f>
        <v>1</v>
      </c>
      <c r="AP31" s="49" t="n">
        <f aca="false">IF((2064-Inputs!$B$51-Inputs!$B$9)&lt;0,0,IF((2064-Inputs!$B$51-Inputs!$B$9)=0,Inputs!$B$52,1))</f>
        <v>1</v>
      </c>
      <c r="AQ31" s="49" t="n">
        <f aca="false">IF((2065-Inputs!$B$51-Inputs!$B$9)&lt;0,0,IF((2065-Inputs!$B$51-Inputs!$B$9)=0,Inputs!$B$52,1))</f>
        <v>1</v>
      </c>
      <c r="AR31" s="49" t="n">
        <f aca="false">IF((2066-Inputs!$B$51-Inputs!$B$9)&lt;0,0,IF((2066-Inputs!$B$51-Inputs!$B$9)=0,Inputs!$B$52,1))</f>
        <v>1</v>
      </c>
      <c r="AS31" s="49" t="n">
        <f aca="false">IF((2067-Inputs!$B$51-Inputs!$B$9)&lt;0,0,IF((2067-Inputs!$B$51-Inputs!$B$9)=0,Inputs!$B$52,1))</f>
        <v>1</v>
      </c>
      <c r="AT31" s="49" t="n">
        <f aca="false">IF((2068-Inputs!$B$51-Inputs!$B$9)&lt;0,0,IF((2068-Inputs!$B$51-Inputs!$B$9)=0,Inputs!$B$52,1))</f>
        <v>1</v>
      </c>
      <c r="AU31" s="49" t="n">
        <f aca="false">IF((2069-Inputs!$B$51-Inputs!$B$9)&lt;0,0,IF((2069-Inputs!$B$51-Inputs!$B$9)=0,Inputs!$B$52,1))</f>
        <v>1</v>
      </c>
      <c r="AV31" s="49" t="n">
        <f aca="false">IF((2070-Inputs!$B$51-Inputs!$B$9)&lt;0,0,IF((2070-Inputs!$B$51-Inputs!$B$9)=0,Inputs!$B$52,1))</f>
        <v>1</v>
      </c>
      <c r="AW31" s="49" t="n">
        <f aca="false">IF((2071-Inputs!$B$51-Inputs!$B$9)&lt;0,0,IF((2071-Inputs!$B$51-Inputs!$B$9)=0,Inputs!$B$52,1))</f>
        <v>1</v>
      </c>
      <c r="AX31" s="49" t="n">
        <f aca="false">IF((2072-Inputs!$B$51-Inputs!$B$9)&lt;0,0,IF((2072-Inputs!$B$51-Inputs!$B$9)=0,Inputs!$B$52,1))</f>
        <v>1</v>
      </c>
      <c r="AY31" s="49" t="n">
        <f aca="false">IF((2073-Inputs!$B$51-Inputs!$B$9)&lt;0,0,IF((2073-Inputs!$B$51-Inputs!$B$9)=0,Inputs!$B$52,1))</f>
        <v>1</v>
      </c>
      <c r="AZ31" s="49" t="n">
        <f aca="false">IF((2074-Inputs!$B$51-Inputs!$B$9)&lt;0,0,IF((2074-Inputs!$B$51-Inputs!$B$9)=0,Inputs!$B$52,1))</f>
        <v>1</v>
      </c>
    </row>
    <row r="32" customFormat="false" ht="15" hidden="false" customHeight="true" outlineLevel="0" collapsed="false">
      <c r="A32" s="6" t="s">
        <v>625</v>
      </c>
      <c r="C32" s="21" t="n">
        <f aca="false">SUM(D32:AZ32)</f>
        <v>11869.0637408175</v>
      </c>
      <c r="D32" s="21" t="n">
        <f aca="false">D30*D31*Inputs!$B$7</f>
        <v>0</v>
      </c>
      <c r="E32" s="21" t="n">
        <f aca="false">E30*E31*Inputs!$B$7</f>
        <v>0</v>
      </c>
      <c r="F32" s="21" t="n">
        <f aca="false">F30*F31*Inputs!$B$7</f>
        <v>26.082</v>
      </c>
      <c r="G32" s="21" t="n">
        <f aca="false">G30*G31*Inputs!$B$7</f>
        <v>110.519</v>
      </c>
      <c r="H32" s="21" t="n">
        <f aca="false">H30*H31*Inputs!$B$7</f>
        <v>115.216</v>
      </c>
      <c r="I32" s="21" t="n">
        <f aca="false">I30*I31*Inputs!$B$7</f>
        <v>119.075</v>
      </c>
      <c r="J32" s="21" t="n">
        <f aca="false">J30*J31*Inputs!$B$7</f>
        <v>125.825</v>
      </c>
      <c r="K32" s="21" t="n">
        <f aca="false">K30*K31*Inputs!$B$7</f>
        <v>132.794</v>
      </c>
      <c r="L32" s="21" t="n">
        <f aca="false">L30*L31*Inputs!$B$7</f>
        <v>140.706</v>
      </c>
      <c r="M32" s="21" t="n">
        <f aca="false">M30*M31*Inputs!$B$7</f>
        <v>149.264</v>
      </c>
      <c r="N32" s="21" t="n">
        <f aca="false">N30*N31*Inputs!$B$7</f>
        <v>156.54</v>
      </c>
      <c r="O32" s="21" t="n">
        <f aca="false">O30*O31*Inputs!$B$7</f>
        <v>163.825</v>
      </c>
      <c r="P32" s="21" t="n">
        <f aca="false">P30*P31*Inputs!$B$7</f>
        <v>171.073</v>
      </c>
      <c r="Q32" s="21" t="n">
        <f aca="false">Q30*Q31*Inputs!$B$7</f>
        <v>178.88</v>
      </c>
      <c r="R32" s="21" t="n">
        <f aca="false">R30*R31*Inputs!$B$7</f>
        <v>187.14</v>
      </c>
      <c r="S32" s="21" t="n">
        <f aca="false">S30*S31*Inputs!$B$7</f>
        <v>191.8185</v>
      </c>
      <c r="T32" s="21" t="n">
        <f aca="false">T30*T31*Inputs!$B$7</f>
        <v>196.6139625</v>
      </c>
      <c r="U32" s="21" t="n">
        <f aca="false">U30*U31*Inputs!$B$7</f>
        <v>201.5293115625</v>
      </c>
      <c r="V32" s="21" t="n">
        <f aca="false">V30*V31*Inputs!$B$7</f>
        <v>206.567544351562</v>
      </c>
      <c r="W32" s="21" t="n">
        <f aca="false">W30*W31*Inputs!$B$7</f>
        <v>211.731732960351</v>
      </c>
      <c r="X32" s="21" t="n">
        <f aca="false">X30*X31*Inputs!$B$7</f>
        <v>217.02502628436</v>
      </c>
      <c r="Y32" s="21" t="n">
        <f aca="false">Y30*Y31*Inputs!$B$7</f>
        <v>222.450651941469</v>
      </c>
      <c r="Z32" s="21" t="n">
        <f aca="false">Z30*Z31*Inputs!$B$7</f>
        <v>228.011918240006</v>
      </c>
      <c r="AA32" s="21" t="n">
        <f aca="false">AA30*AA31*Inputs!$B$7</f>
        <v>233.712216196006</v>
      </c>
      <c r="AB32" s="21" t="n">
        <f aca="false">AB30*AB31*Inputs!$B$7</f>
        <v>239.555021600906</v>
      </c>
      <c r="AC32" s="21" t="n">
        <f aca="false">AC30*AC31*Inputs!$B$7</f>
        <v>245.543897140929</v>
      </c>
      <c r="AD32" s="21" t="n">
        <f aca="false">AD30*AD31*Inputs!$B$7</f>
        <v>251.682494569452</v>
      </c>
      <c r="AE32" s="21" t="n">
        <f aca="false">AE30*AE31*Inputs!$B$7</f>
        <v>257.974556933688</v>
      </c>
      <c r="AF32" s="21" t="n">
        <f aca="false">AF30*AF31*Inputs!$B$7</f>
        <v>264.423920857031</v>
      </c>
      <c r="AG32" s="21" t="n">
        <f aca="false">AG30*AG31*Inputs!$B$7</f>
        <v>271.034518878456</v>
      </c>
      <c r="AH32" s="21" t="n">
        <f aca="false">AH30*AH31*Inputs!$B$7</f>
        <v>277.810381850418</v>
      </c>
      <c r="AI32" s="21" t="n">
        <f aca="false">AI30*AI31*Inputs!$B$7</f>
        <v>284.755641396678</v>
      </c>
      <c r="AJ32" s="21" t="n">
        <f aca="false">AJ30*AJ31*Inputs!$B$7</f>
        <v>291.874532431595</v>
      </c>
      <c r="AK32" s="21" t="n">
        <f aca="false">AK30*AK31*Inputs!$B$7</f>
        <v>299.171395742385</v>
      </c>
      <c r="AL32" s="21" t="n">
        <f aca="false">AL30*AL31*Inputs!$B$7</f>
        <v>306.650680635944</v>
      </c>
      <c r="AM32" s="21" t="n">
        <f aca="false">AM30*AM31*Inputs!$B$7</f>
        <v>314.316947651843</v>
      </c>
      <c r="AN32" s="21" t="n">
        <f aca="false">AN30*AN31*Inputs!$B$7</f>
        <v>322.174871343139</v>
      </c>
      <c r="AO32" s="21" t="n">
        <f aca="false">AO30*AO31*Inputs!$B$7</f>
        <v>330.229243126717</v>
      </c>
      <c r="AP32" s="21" t="n">
        <f aca="false">AP30*AP31*Inputs!$B$7</f>
        <v>338.484974204885</v>
      </c>
      <c r="AQ32" s="21" t="n">
        <f aca="false">AQ30*AQ31*Inputs!$B$7</f>
        <v>346.947098560008</v>
      </c>
      <c r="AR32" s="21" t="n">
        <f aca="false">AR30*AR31*Inputs!$B$7</f>
        <v>355.620776024008</v>
      </c>
      <c r="AS32" s="21" t="n">
        <f aca="false">AS30*AS31*Inputs!$B$7</f>
        <v>364.511295424608</v>
      </c>
      <c r="AT32" s="21" t="n">
        <f aca="false">AT30*AT31*Inputs!$B$7</f>
        <v>373.624077810223</v>
      </c>
      <c r="AU32" s="21" t="n">
        <f aca="false">AU30*AU31*Inputs!$B$7</f>
        <v>382.964679755478</v>
      </c>
      <c r="AV32" s="21" t="n">
        <f aca="false">AV30*AV31*Inputs!$B$7</f>
        <v>392.538796749365</v>
      </c>
      <c r="AW32" s="21" t="n">
        <f aca="false">AW30*AW31*Inputs!$B$7</f>
        <v>402.3522666681</v>
      </c>
      <c r="AX32" s="21" t="n">
        <f aca="false">AX30*AX31*Inputs!$B$7</f>
        <v>412.411073334802</v>
      </c>
      <c r="AY32" s="21" t="n">
        <f aca="false">AY30*AY31*Inputs!$B$7</f>
        <v>422.721350168172</v>
      </c>
      <c r="AZ32" s="21" t="n">
        <f aca="false">AZ30*AZ31*Inputs!$B$7</f>
        <v>433.289383922376</v>
      </c>
    </row>
    <row r="33" customFormat="false" ht="15" hidden="false" customHeight="true" outlineLevel="0" collapsed="false">
      <c r="A33" s="13" t="s">
        <v>626</v>
      </c>
      <c r="D33" s="19" t="n">
        <f aca="false">IF(D31&gt;0,IF(Inputs!$B$88=2,D29,Inputs!$B$198*(1+Inputs!$B$166)^(2026-2028-Inputs!$B$9)),0)</f>
        <v>0</v>
      </c>
      <c r="E33" s="19" t="n">
        <f aca="false">IF(E31&gt;0,IF(Inputs!$B$88=2,E29,Inputs!$B$198*(1+Inputs!$B$166)^(2027-2028-Inputs!$B$9)),0)</f>
        <v>0</v>
      </c>
      <c r="F33" s="19" t="n">
        <f aca="false">IF(F31&gt;0,IF(Inputs!$B$88=2,F29,Inputs!$B$198*(1+Inputs!$B$166)^(2028-2028-Inputs!$B$9)),0)</f>
        <v>91.91</v>
      </c>
      <c r="G33" s="19" t="n">
        <f aca="false">IF(G31&gt;0,IF(Inputs!$B$88=2,G29,Inputs!$B$198*(1+Inputs!$B$166)^(2029-2028-Inputs!$B$9)),0)</f>
        <v>95.06</v>
      </c>
      <c r="H33" s="19" t="n">
        <f aca="false">IF(H31&gt;0,IF(Inputs!$B$88=2,H29,Inputs!$B$198*(1+Inputs!$B$166)^(2030-2028-Inputs!$B$9)),0)</f>
        <v>97.4</v>
      </c>
      <c r="I33" s="19" t="n">
        <f aca="false">IF(I31&gt;0,IF(Inputs!$B$88=2,I29,Inputs!$B$198*(1+Inputs!$B$166)^(2031-2028-Inputs!$B$9)),0)</f>
        <v>98.85</v>
      </c>
      <c r="J33" s="19" t="n">
        <f aca="false">IF(J31&gt;0,IF(Inputs!$B$88=2,J29,Inputs!$B$198*(1+Inputs!$B$166)^(2032-2028-Inputs!$B$9)),0)</f>
        <v>101.06</v>
      </c>
      <c r="K33" s="19" t="n">
        <f aca="false">IF(K31&gt;0,IF(Inputs!$B$88=2,K29,Inputs!$B$198*(1+Inputs!$B$166)^(2033-2028-Inputs!$B$9)),0)</f>
        <v>103.33</v>
      </c>
      <c r="L33" s="19" t="n">
        <f aca="false">IF(L31&gt;0,IF(Inputs!$B$88=2,L29,Inputs!$B$198*(1+Inputs!$B$166)^(2034-2028-Inputs!$B$9)),0)</f>
        <v>105.64</v>
      </c>
      <c r="M33" s="19" t="n">
        <f aca="false">IF(M31&gt;0,IF(Inputs!$B$88=2,M29,Inputs!$B$198*(1+Inputs!$B$166)^(2035-2028-Inputs!$B$9)),0)</f>
        <v>108.02</v>
      </c>
      <c r="N33" s="19" t="n">
        <f aca="false">IF(N31&gt;0,IF(Inputs!$B$88=2,N29,Inputs!$B$198*(1+Inputs!$B$166)^(2036-2028-Inputs!$B$9)),0)</f>
        <v>110.45</v>
      </c>
      <c r="O33" s="19" t="n">
        <f aca="false">IF(O31&gt;0,IF(Inputs!$B$88=2,O29,Inputs!$B$198*(1+Inputs!$B$166)^(2037-2028-Inputs!$B$9)),0)</f>
        <v>112.94</v>
      </c>
      <c r="P33" s="19" t="n">
        <f aca="false">IF(P31&gt;0,IF(Inputs!$B$88=2,P29,Inputs!$B$198*(1+Inputs!$B$166)^(2038-2028-Inputs!$B$9)),0)</f>
        <v>115.5</v>
      </c>
      <c r="Q33" s="19" t="n">
        <f aca="false">IF(Q31&gt;0,IF(Inputs!$B$88=2,Q29,Inputs!$B$198*(1+Inputs!$B$166)^(2039-2028-Inputs!$B$9)),0)</f>
        <v>118.11</v>
      </c>
      <c r="R33" s="19" t="n">
        <f aca="false">IF(R31&gt;0,IF(Inputs!$B$88=2,R29,Inputs!$B$198*(1+Inputs!$B$166)^(2040-2028-Inputs!$B$9)),0)</f>
        <v>120.79</v>
      </c>
      <c r="S33" s="19" t="n">
        <f aca="false">IF(S31&gt;0,IF(Inputs!$B$88=2,S29,Inputs!$B$198*(1+Inputs!$B$166)^(2041-2028-Inputs!$B$9)),0)</f>
        <v>123.80975</v>
      </c>
      <c r="T33" s="19" t="n">
        <f aca="false">IF(T31&gt;0,IF(Inputs!$B$88=2,T29,Inputs!$B$198*(1+Inputs!$B$166)^(2042-2028-Inputs!$B$9)),0)</f>
        <v>126.90499375</v>
      </c>
      <c r="U33" s="19" t="n">
        <f aca="false">IF(U31&gt;0,IF(Inputs!$B$88=2,U29,Inputs!$B$198*(1+Inputs!$B$166)^(2043-2028-Inputs!$B$9)),0)</f>
        <v>130.07761859375</v>
      </c>
      <c r="V33" s="19" t="n">
        <f aca="false">IF(V31&gt;0,IF(Inputs!$B$88=2,V29,Inputs!$B$198*(1+Inputs!$B$166)^(2044-2028-Inputs!$B$9)),0)</f>
        <v>133.329559058594</v>
      </c>
      <c r="W33" s="19" t="n">
        <f aca="false">IF(W31&gt;0,IF(Inputs!$B$88=2,W29,Inputs!$B$198*(1+Inputs!$B$166)^(2045-2028-Inputs!$B$9)),0)</f>
        <v>136.662798035059</v>
      </c>
      <c r="X33" s="19" t="n">
        <f aca="false">IF(X31&gt;0,IF(Inputs!$B$88=2,X29,Inputs!$B$198*(1+Inputs!$B$166)^(2046-2028-Inputs!$B$9)),0)</f>
        <v>140.079367985935</v>
      </c>
      <c r="Y33" s="19" t="n">
        <f aca="false">IF(Y31&gt;0,IF(Inputs!$B$88=2,Y29,Inputs!$B$198*(1+Inputs!$B$166)^(2047-2028-Inputs!$B$9)),0)</f>
        <v>143.581352185583</v>
      </c>
      <c r="Z33" s="19" t="n">
        <f aca="false">IF(Z31&gt;0,IF(Inputs!$B$88=2,Z29,Inputs!$B$198*(1+Inputs!$B$166)^(2048-2028-Inputs!$B$9)),0)</f>
        <v>147.170885990223</v>
      </c>
      <c r="AA33" s="19" t="n">
        <f aca="false">IF(AA31&gt;0,IF(Inputs!$B$88=2,AA29,Inputs!$B$198*(1+Inputs!$B$166)^(2049-2028-Inputs!$B$9)),0)</f>
        <v>150.850158139978</v>
      </c>
      <c r="AB33" s="19" t="n">
        <f aca="false">IF(AB31&gt;0,IF(Inputs!$B$88=2,AB29,Inputs!$B$198*(1+Inputs!$B$166)^(2050-2028-Inputs!$B$9)),0)</f>
        <v>154.621412093478</v>
      </c>
      <c r="AC33" s="19" t="n">
        <f aca="false">IF(AC31&gt;0,IF(Inputs!$B$88=2,AC29,Inputs!$B$198*(1+Inputs!$B$166)^(2051-2028-Inputs!$B$9)),0)</f>
        <v>158.486947395815</v>
      </c>
      <c r="AD33" s="19" t="n">
        <f aca="false">IF(AD31&gt;0,IF(Inputs!$B$88=2,AD29,Inputs!$B$198*(1+Inputs!$B$166)^(2052-2028-Inputs!$B$9)),0)</f>
        <v>162.44912108071</v>
      </c>
      <c r="AE33" s="19" t="n">
        <f aca="false">IF(AE31&gt;0,IF(Inputs!$B$88=2,AE29,Inputs!$B$198*(1+Inputs!$B$166)^(2053-2028-Inputs!$B$9)),0)</f>
        <v>166.510349107728</v>
      </c>
      <c r="AF33" s="19" t="n">
        <f aca="false">IF(AF31&gt;0,IF(Inputs!$B$88=2,AF29,Inputs!$B$198*(1+Inputs!$B$166)^(2054-2028-Inputs!$B$9)),0)</f>
        <v>170.673107835421</v>
      </c>
      <c r="AG33" s="19" t="n">
        <f aca="false">IF(AG31&gt;0,IF(Inputs!$B$88=2,AG29,Inputs!$B$198*(1+Inputs!$B$166)^(2055-2028-Inputs!$B$9)),0)</f>
        <v>174.939935531307</v>
      </c>
      <c r="AH33" s="19" t="n">
        <f aca="false">IF(AH31&gt;0,IF(Inputs!$B$88=2,AH29,Inputs!$B$198*(1+Inputs!$B$166)^(2056-2028-Inputs!$B$9)),0)</f>
        <v>179.313433919589</v>
      </c>
      <c r="AI33" s="19" t="n">
        <f aca="false">IF(AI31&gt;0,IF(Inputs!$B$88=2,AI29,Inputs!$B$198*(1+Inputs!$B$166)^(2057-2028-Inputs!$B$9)),0)</f>
        <v>183.796269767579</v>
      </c>
      <c r="AJ33" s="19" t="n">
        <f aca="false">IF(AJ31&gt;0,IF(Inputs!$B$88=2,AJ29,Inputs!$B$198*(1+Inputs!$B$166)^(2058-2028-Inputs!$B$9)),0)</f>
        <v>188.391176511769</v>
      </c>
      <c r="AK33" s="19" t="n">
        <f aca="false">IF(AK31&gt;0,IF(Inputs!$B$88=2,AK29,Inputs!$B$198*(1+Inputs!$B$166)^(2059-2028-Inputs!$B$9)),0)</f>
        <v>193.100955924563</v>
      </c>
      <c r="AL33" s="19" t="n">
        <f aca="false">IF(AL31&gt;0,IF(Inputs!$B$88=2,AL29,Inputs!$B$198*(1+Inputs!$B$166)^(2060-2028-Inputs!$B$9)),0)</f>
        <v>197.928479822677</v>
      </c>
      <c r="AM33" s="19" t="n">
        <f aca="false">IF(AM31&gt;0,IF(Inputs!$B$88=2,AM29,Inputs!$B$198*(1+Inputs!$B$166)^(2061-2028-Inputs!$B$9)),0)</f>
        <v>202.876691818244</v>
      </c>
      <c r="AN33" s="19" t="n">
        <f aca="false">IF(AN31&gt;0,IF(Inputs!$B$88=2,AN29,Inputs!$B$198*(1+Inputs!$B$166)^(2062-2028-Inputs!$B$9)),0)</f>
        <v>207.9486091137</v>
      </c>
      <c r="AO33" s="19" t="n">
        <f aca="false">IF(AO31&gt;0,IF(Inputs!$B$88=2,AO29,Inputs!$B$198*(1+Inputs!$B$166)^(2063-2028-Inputs!$B$9)),0)</f>
        <v>213.147324341542</v>
      </c>
      <c r="AP33" s="19" t="n">
        <f aca="false">IF(AP31&gt;0,IF(Inputs!$B$88=2,AP29,Inputs!$B$198*(1+Inputs!$B$166)^(2064-2028-Inputs!$B$9)),0)</f>
        <v>218.476007450081</v>
      </c>
      <c r="AQ33" s="19" t="n">
        <f aca="false">IF(AQ31&gt;0,IF(Inputs!$B$88=2,AQ29,Inputs!$B$198*(1+Inputs!$B$166)^(2065-2028-Inputs!$B$9)),0)</f>
        <v>223.937907636333</v>
      </c>
      <c r="AR33" s="19" t="n">
        <f aca="false">IF(AR31&gt;0,IF(Inputs!$B$88=2,AR29,Inputs!$B$198*(1+Inputs!$B$166)^(2066-2028-Inputs!$B$9)),0)</f>
        <v>229.536355327241</v>
      </c>
      <c r="AS33" s="19" t="n">
        <f aca="false">IF(AS31&gt;0,IF(Inputs!$B$88=2,AS29,Inputs!$B$198*(1+Inputs!$B$166)^(2067-2028-Inputs!$B$9)),0)</f>
        <v>235.274764210422</v>
      </c>
      <c r="AT33" s="19" t="n">
        <f aca="false">IF(AT31&gt;0,IF(Inputs!$B$88=2,AT29,Inputs!$B$198*(1+Inputs!$B$166)^(2068-2028-Inputs!$B$9)),0)</f>
        <v>241.156633315683</v>
      </c>
      <c r="AU33" s="19" t="n">
        <f aca="false">IF(AU31&gt;0,IF(Inputs!$B$88=2,AU29,Inputs!$B$198*(1+Inputs!$B$166)^(2069-2028-Inputs!$B$9)),0)</f>
        <v>247.185549148575</v>
      </c>
      <c r="AV33" s="19" t="n">
        <f aca="false">IF(AV31&gt;0,IF(Inputs!$B$88=2,AV29,Inputs!$B$198*(1+Inputs!$B$166)^(2070-2028-Inputs!$B$9)),0)</f>
        <v>253.365187877289</v>
      </c>
      <c r="AW33" s="19" t="n">
        <f aca="false">IF(AW31&gt;0,IF(Inputs!$B$88=2,AW29,Inputs!$B$198*(1+Inputs!$B$166)^(2071-2028-Inputs!$B$9)),0)</f>
        <v>259.699317574221</v>
      </c>
      <c r="AX33" s="19" t="n">
        <f aca="false">IF(AX31&gt;0,IF(Inputs!$B$88=2,AX29,Inputs!$B$198*(1+Inputs!$B$166)^(2072-2028-Inputs!$B$9)),0)</f>
        <v>266.191800513577</v>
      </c>
      <c r="AY33" s="19" t="n">
        <f aca="false">IF(AY31&gt;0,IF(Inputs!$B$88=2,AY29,Inputs!$B$198*(1+Inputs!$B$166)^(2073-2028-Inputs!$B$9)),0)</f>
        <v>272.846595526416</v>
      </c>
      <c r="AZ33" s="19" t="n">
        <f aca="false">IF(AZ31&gt;0,IF(Inputs!$B$88=2,AZ29,Inputs!$B$198*(1+Inputs!$B$166)^(2074-2028-Inputs!$B$9)),0)</f>
        <v>279.667760414576</v>
      </c>
    </row>
    <row r="34" customFormat="false" ht="15" hidden="false" customHeight="true" outlineLevel="0" collapsed="false">
      <c r="A34" s="13" t="s">
        <v>627</v>
      </c>
      <c r="D34" s="19" t="n">
        <f aca="false">IF(D33&gt;0,D30*Inputs!$B$7/D33*1000,0)</f>
        <v>0</v>
      </c>
      <c r="E34" s="19" t="n">
        <f aca="false">IF(E33&gt;0,E30*Inputs!$B$7/E33*1000,0)</f>
        <v>0</v>
      </c>
      <c r="F34" s="19" t="n">
        <f aca="false">IF(F33&gt;0,F30*Inputs!$B$7/F33*1000,0)</f>
        <v>1135.11043412034</v>
      </c>
      <c r="G34" s="19" t="n">
        <f aca="false">IF(G33&gt;0,G30*Inputs!$B$7/G33*1000,0)</f>
        <v>1162.62360614349</v>
      </c>
      <c r="H34" s="19" t="n">
        <f aca="false">IF(H33&gt;0,H30*Inputs!$B$7/H33*1000,0)</f>
        <v>1182.9158110883</v>
      </c>
      <c r="I34" s="19" t="n">
        <f aca="false">IF(I33&gt;0,I30*Inputs!$B$7/I33*1000,0)</f>
        <v>1204.60293373799</v>
      </c>
      <c r="J34" s="19" t="n">
        <f aca="false">IF(J33&gt;0,J30*Inputs!$B$7/J33*1000,0)</f>
        <v>1245.05244409262</v>
      </c>
      <c r="K34" s="19" t="n">
        <f aca="false">IF(K33&gt;0,K30*Inputs!$B$7/K33*1000,0)</f>
        <v>1285.14468208652</v>
      </c>
      <c r="L34" s="19" t="n">
        <f aca="false">IF(L33&gt;0,L30*Inputs!$B$7/L33*1000,0)</f>
        <v>1331.93865959864</v>
      </c>
      <c r="M34" s="19" t="n">
        <f aca="false">IF(M33&gt;0,M30*Inputs!$B$7/M33*1000,0)</f>
        <v>1381.81818181818</v>
      </c>
      <c r="N34" s="19" t="n">
        <f aca="false">IF(N33&gt;0,N30*Inputs!$B$7/N33*1000,0)</f>
        <v>1417.29289271163</v>
      </c>
      <c r="O34" s="19" t="n">
        <f aca="false">IF(O33&gt;0,O30*Inputs!$B$7/O33*1000,0)</f>
        <v>1450.54896405171</v>
      </c>
      <c r="P34" s="19" t="n">
        <f aca="false">IF(P33&gt;0,P30*Inputs!$B$7/P33*1000,0)</f>
        <v>1481.15151515152</v>
      </c>
      <c r="Q34" s="19" t="n">
        <f aca="false">IF(Q33&gt;0,Q30*Inputs!$B$7/Q33*1000,0)</f>
        <v>1514.52036237406</v>
      </c>
      <c r="R34" s="19" t="n">
        <f aca="false">IF(R33&gt;0,R30*Inputs!$B$7/R33*1000,0)</f>
        <v>1549.30043877804</v>
      </c>
      <c r="S34" s="19" t="n">
        <f aca="false">IF(S33&gt;0,S30*Inputs!$B$7/S33*1000,0)</f>
        <v>1549.30043877804</v>
      </c>
      <c r="T34" s="19" t="n">
        <f aca="false">IF(T33&gt;0,T30*Inputs!$B$7/T33*1000,0)</f>
        <v>1549.30043877804</v>
      </c>
      <c r="U34" s="19" t="n">
        <f aca="false">IF(U33&gt;0,U30*Inputs!$B$7/U33*1000,0)</f>
        <v>1549.30043877804</v>
      </c>
      <c r="V34" s="19" t="n">
        <f aca="false">IF(V33&gt;0,V30*Inputs!$B$7/V33*1000,0)</f>
        <v>1549.30043877804</v>
      </c>
      <c r="W34" s="19" t="n">
        <f aca="false">IF(W33&gt;0,W30*Inputs!$B$7/W33*1000,0)</f>
        <v>1549.30043877804</v>
      </c>
      <c r="X34" s="19" t="n">
        <f aca="false">IF(X33&gt;0,X30*Inputs!$B$7/X33*1000,0)</f>
        <v>1549.30043877804</v>
      </c>
      <c r="Y34" s="19" t="n">
        <f aca="false">IF(Y33&gt;0,Y30*Inputs!$B$7/Y33*1000,0)</f>
        <v>1549.30043877804</v>
      </c>
      <c r="Z34" s="19" t="n">
        <f aca="false">IF(Z33&gt;0,Z30*Inputs!$B$7/Z33*1000,0)</f>
        <v>1549.30043877804</v>
      </c>
      <c r="AA34" s="19" t="n">
        <f aca="false">IF(AA33&gt;0,AA30*Inputs!$B$7/AA33*1000,0)</f>
        <v>1549.30043877804</v>
      </c>
      <c r="AB34" s="19" t="n">
        <f aca="false">IF(AB33&gt;0,AB30*Inputs!$B$7/AB33*1000,0)</f>
        <v>1549.30043877804</v>
      </c>
      <c r="AC34" s="19" t="n">
        <f aca="false">IF(AC33&gt;0,AC30*Inputs!$B$7/AC33*1000,0)</f>
        <v>1549.30043877804</v>
      </c>
      <c r="AD34" s="19" t="n">
        <f aca="false">IF(AD33&gt;0,AD30*Inputs!$B$7/AD33*1000,0)</f>
        <v>1549.30043877804</v>
      </c>
      <c r="AE34" s="19" t="n">
        <f aca="false">IF(AE33&gt;0,AE30*Inputs!$B$7/AE33*1000,0)</f>
        <v>1549.30043877804</v>
      </c>
      <c r="AF34" s="19" t="n">
        <f aca="false">IF(AF33&gt;0,AF30*Inputs!$B$7/AF33*1000,0)</f>
        <v>1549.30043877804</v>
      </c>
      <c r="AG34" s="19" t="n">
        <f aca="false">IF(AG33&gt;0,AG30*Inputs!$B$7/AG33*1000,0)</f>
        <v>1549.30043877804</v>
      </c>
      <c r="AH34" s="19" t="n">
        <f aca="false">IF(AH33&gt;0,AH30*Inputs!$B$7/AH33*1000,0)</f>
        <v>1549.30043877804</v>
      </c>
      <c r="AI34" s="19" t="n">
        <f aca="false">IF(AI33&gt;0,AI30*Inputs!$B$7/AI33*1000,0)</f>
        <v>1549.30043877804</v>
      </c>
      <c r="AJ34" s="19" t="n">
        <f aca="false">IF(AJ33&gt;0,AJ30*Inputs!$B$7/AJ33*1000,0)</f>
        <v>1549.30043877804</v>
      </c>
      <c r="AK34" s="19" t="n">
        <f aca="false">IF(AK33&gt;0,AK30*Inputs!$B$7/AK33*1000,0)</f>
        <v>1549.30043877804</v>
      </c>
      <c r="AL34" s="19" t="n">
        <f aca="false">IF(AL33&gt;0,AL30*Inputs!$B$7/AL33*1000,0)</f>
        <v>1549.30043877804</v>
      </c>
      <c r="AM34" s="19" t="n">
        <f aca="false">IF(AM33&gt;0,AM30*Inputs!$B$7/AM33*1000,0)</f>
        <v>1549.30043877804</v>
      </c>
      <c r="AN34" s="19" t="n">
        <f aca="false">IF(AN33&gt;0,AN30*Inputs!$B$7/AN33*1000,0)</f>
        <v>1549.30043877804</v>
      </c>
      <c r="AO34" s="19" t="n">
        <f aca="false">IF(AO33&gt;0,AO30*Inputs!$B$7/AO33*1000,0)</f>
        <v>1549.30043877804</v>
      </c>
      <c r="AP34" s="19" t="n">
        <f aca="false">IF(AP33&gt;0,AP30*Inputs!$B$7/AP33*1000,0)</f>
        <v>1549.30043877804</v>
      </c>
      <c r="AQ34" s="19" t="n">
        <f aca="false">IF(AQ33&gt;0,AQ30*Inputs!$B$7/AQ33*1000,0)</f>
        <v>1549.30043877804</v>
      </c>
      <c r="AR34" s="19" t="n">
        <f aca="false">IF(AR33&gt;0,AR30*Inputs!$B$7/AR33*1000,0)</f>
        <v>1549.30043877804</v>
      </c>
      <c r="AS34" s="19" t="n">
        <f aca="false">IF(AS33&gt;0,AS30*Inputs!$B$7/AS33*1000,0)</f>
        <v>1549.30043877804</v>
      </c>
      <c r="AT34" s="19" t="n">
        <f aca="false">IF(AT33&gt;0,AT30*Inputs!$B$7/AT33*1000,0)</f>
        <v>1549.30043877804</v>
      </c>
      <c r="AU34" s="19" t="n">
        <f aca="false">IF(AU33&gt;0,AU30*Inputs!$B$7/AU33*1000,0)</f>
        <v>1549.30043877804</v>
      </c>
      <c r="AV34" s="19" t="n">
        <f aca="false">IF(AV33&gt;0,AV30*Inputs!$B$7/AV33*1000,0)</f>
        <v>1549.30043877804</v>
      </c>
      <c r="AW34" s="19" t="n">
        <f aca="false">IF(AW33&gt;0,AW30*Inputs!$B$7/AW33*1000,0)</f>
        <v>1549.30043877804</v>
      </c>
      <c r="AX34" s="19" t="n">
        <f aca="false">IF(AX33&gt;0,AX30*Inputs!$B$7/AX33*1000,0)</f>
        <v>1549.30043877804</v>
      </c>
      <c r="AY34" s="19" t="n">
        <f aca="false">IF(AY33&gt;0,AY30*Inputs!$B$7/AY33*1000,0)</f>
        <v>1549.30043877804</v>
      </c>
      <c r="AZ34" s="19" t="n">
        <f aca="false">IF(AZ33&gt;0,AZ30*Inputs!$B$7/AZ33*1000,0)</f>
        <v>1549.30043877804</v>
      </c>
    </row>
    <row r="35" customFormat="false" ht="15" hidden="false" customHeight="true" outlineLevel="0" collapsed="false">
      <c r="A35" s="13" t="s">
        <v>628</v>
      </c>
      <c r="C35" s="41" t="n">
        <f aca="false">SUM(D35:AZ35)</f>
        <v>5057.11697701456</v>
      </c>
      <c r="D35" s="41" t="n">
        <f aca="false">IF(Inputs!$B$88=2,D32*D27,D32*Inputs!$B$141)</f>
        <v>0</v>
      </c>
      <c r="E35" s="41" t="n">
        <f aca="false">IF(Inputs!$B$88=2,E32*E27,E32*Inputs!$B$141)</f>
        <v>0</v>
      </c>
      <c r="F35" s="41" t="n">
        <f aca="false">IF(Inputs!$B$88=2,F32*F27,F32*Inputs!$B$141)</f>
        <v>9.251</v>
      </c>
      <c r="G35" s="41" t="n">
        <f aca="false">IF(Inputs!$B$88=2,G32*G27,G32*Inputs!$B$141)</f>
        <v>36.978</v>
      </c>
      <c r="H35" s="41" t="n">
        <f aca="false">IF(Inputs!$B$88=2,H32*H27,H32*Inputs!$B$141)</f>
        <v>39.513</v>
      </c>
      <c r="I35" s="41" t="n">
        <f aca="false">IF(Inputs!$B$88=2,I32*I27,I32*Inputs!$B$141)</f>
        <v>41.366</v>
      </c>
      <c r="J35" s="41" t="n">
        <f aca="false">IF(Inputs!$B$88=2,J32*J27,J32*Inputs!$B$141)</f>
        <v>45.172</v>
      </c>
      <c r="K35" s="41" t="n">
        <f aca="false">IF(Inputs!$B$88=2,K32*K27,K32*Inputs!$B$141)</f>
        <v>49.209</v>
      </c>
      <c r="L35" s="41" t="n">
        <f aca="false">IF(Inputs!$B$88=2,L32*L27,L32*Inputs!$B$141)</f>
        <v>53.858</v>
      </c>
      <c r="M35" s="41" t="n">
        <f aca="false">IF(Inputs!$B$88=2,M32*M27,M32*Inputs!$B$141)</f>
        <v>58.961</v>
      </c>
      <c r="N35" s="41" t="n">
        <f aca="false">IF(Inputs!$B$88=2,N32*N27,N32*Inputs!$B$141)</f>
        <v>63.23</v>
      </c>
      <c r="O35" s="41" t="n">
        <f aca="false">IF(Inputs!$B$88=2,O32*O27,O32*Inputs!$B$141)</f>
        <v>67.43</v>
      </c>
      <c r="P35" s="41" t="n">
        <f aca="false">IF(Inputs!$B$88=2,P32*P27,P32*Inputs!$B$141)</f>
        <v>71.589</v>
      </c>
      <c r="Q35" s="41" t="n">
        <f aca="false">IF(Inputs!$B$88=2,Q32*Q27,Q32*Inputs!$B$141)</f>
        <v>76.099</v>
      </c>
      <c r="R35" s="41" t="n">
        <f aca="false">IF(Inputs!$B$88=2,R32*R27,R32*Inputs!$B$141)</f>
        <v>80.914</v>
      </c>
      <c r="S35" s="41" t="n">
        <f aca="false">IF(Inputs!$B$88=2,S32*S27,S32*Inputs!$B$141)</f>
        <v>82.93685</v>
      </c>
      <c r="T35" s="41" t="n">
        <f aca="false">IF(Inputs!$B$88=2,T32*T27,T32*Inputs!$B$141)</f>
        <v>85.01027125</v>
      </c>
      <c r="U35" s="41" t="n">
        <f aca="false">IF(Inputs!$B$88=2,U32*U27,U32*Inputs!$B$141)</f>
        <v>87.13552803125</v>
      </c>
      <c r="V35" s="41" t="n">
        <f aca="false">IF(Inputs!$B$88=2,V32*V27,V32*Inputs!$B$141)</f>
        <v>89.3139162320312</v>
      </c>
      <c r="W35" s="41" t="n">
        <f aca="false">IF(Inputs!$B$88=2,W32*W27,W32*Inputs!$B$141)</f>
        <v>91.546764137832</v>
      </c>
      <c r="X35" s="41" t="n">
        <f aca="false">IF(Inputs!$B$88=2,X32*X27,X32*Inputs!$B$141)</f>
        <v>93.8354332412778</v>
      </c>
      <c r="Y35" s="41" t="n">
        <f aca="false">IF(Inputs!$B$88=2,Y32*Y27,Y32*Inputs!$B$141)</f>
        <v>96.1813190723097</v>
      </c>
      <c r="Z35" s="41" t="n">
        <f aca="false">IF(Inputs!$B$88=2,Z32*Z27,Z32*Inputs!$B$141)</f>
        <v>98.5858520491175</v>
      </c>
      <c r="AA35" s="41" t="n">
        <f aca="false">IF(Inputs!$B$88=2,AA32*AA27,AA32*Inputs!$B$141)</f>
        <v>101.050498350345</v>
      </c>
      <c r="AB35" s="41" t="n">
        <f aca="false">IF(Inputs!$B$88=2,AB32*AB27,AB32*Inputs!$B$141)</f>
        <v>103.576760809104</v>
      </c>
      <c r="AC35" s="41" t="n">
        <f aca="false">IF(Inputs!$B$88=2,AC32*AC27,AC32*Inputs!$B$141)</f>
        <v>106.166179829332</v>
      </c>
      <c r="AD35" s="41" t="n">
        <f aca="false">IF(Inputs!$B$88=2,AD32*AD27,AD32*Inputs!$B$141)</f>
        <v>108.820334325065</v>
      </c>
      <c r="AE35" s="41" t="n">
        <f aca="false">IF(Inputs!$B$88=2,AE32*AE27,AE32*Inputs!$B$141)</f>
        <v>111.540842683191</v>
      </c>
      <c r="AF35" s="41" t="n">
        <f aca="false">IF(Inputs!$B$88=2,AF32*AF27,AF32*Inputs!$B$141)</f>
        <v>114.329363750271</v>
      </c>
      <c r="AG35" s="41" t="n">
        <f aca="false">IF(Inputs!$B$88=2,AG32*AG27,AG32*Inputs!$B$141)</f>
        <v>117.187597844028</v>
      </c>
      <c r="AH35" s="41" t="n">
        <f aca="false">IF(Inputs!$B$88=2,AH32*AH27,AH32*Inputs!$B$141)</f>
        <v>120.117287790129</v>
      </c>
      <c r="AI35" s="41" t="n">
        <f aca="false">IF(Inputs!$B$88=2,AI32*AI27,AI32*Inputs!$B$141)</f>
        <v>123.120219984882</v>
      </c>
      <c r="AJ35" s="41" t="n">
        <f aca="false">IF(Inputs!$B$88=2,AJ32*AJ27,AJ32*Inputs!$B$141)</f>
        <v>126.198225484504</v>
      </c>
      <c r="AK35" s="41" t="n">
        <f aca="false">IF(Inputs!$B$88=2,AK32*AK27,AK32*Inputs!$B$141)</f>
        <v>129.353181121617</v>
      </c>
      <c r="AL35" s="41" t="n">
        <f aca="false">IF(Inputs!$B$88=2,AL32*AL27,AL32*Inputs!$B$141)</f>
        <v>132.587010649657</v>
      </c>
      <c r="AM35" s="41" t="n">
        <f aca="false">IF(Inputs!$B$88=2,AM32*AM27,AM32*Inputs!$B$141)</f>
        <v>135.901685915898</v>
      </c>
      <c r="AN35" s="41" t="n">
        <f aca="false">IF(Inputs!$B$88=2,AN32*AN27,AN32*Inputs!$B$141)</f>
        <v>139.299228063796</v>
      </c>
      <c r="AO35" s="41" t="n">
        <f aca="false">IF(Inputs!$B$88=2,AO32*AO27,AO32*Inputs!$B$141)</f>
        <v>142.781708765391</v>
      </c>
      <c r="AP35" s="41" t="n">
        <f aca="false">IF(Inputs!$B$88=2,AP32*AP27,AP32*Inputs!$B$141)</f>
        <v>146.351251484525</v>
      </c>
      <c r="AQ35" s="41" t="n">
        <f aca="false">IF(Inputs!$B$88=2,AQ32*AQ27,AQ32*Inputs!$B$141)</f>
        <v>150.010032771639</v>
      </c>
      <c r="AR35" s="41" t="n">
        <f aca="false">IF(Inputs!$B$88=2,AR32*AR27,AR32*Inputs!$B$141)</f>
        <v>153.76028359093</v>
      </c>
      <c r="AS35" s="41" t="n">
        <f aca="false">IF(Inputs!$B$88=2,AS32*AS27,AS32*Inputs!$B$141)</f>
        <v>157.604290680703</v>
      </c>
      <c r="AT35" s="41" t="n">
        <f aca="false">IF(Inputs!$B$88=2,AT32*AT27,AT32*Inputs!$B$141)</f>
        <v>161.54439794772</v>
      </c>
      <c r="AU35" s="41" t="n">
        <f aca="false">IF(Inputs!$B$88=2,AU32*AU27,AU32*Inputs!$B$141)</f>
        <v>165.583007896413</v>
      </c>
      <c r="AV35" s="41" t="n">
        <f aca="false">IF(Inputs!$B$88=2,AV32*AV27,AV32*Inputs!$B$141)</f>
        <v>169.722583093824</v>
      </c>
      <c r="AW35" s="41" t="n">
        <f aca="false">IF(Inputs!$B$88=2,AW32*AW27,AW32*Inputs!$B$141)</f>
        <v>173.965647671169</v>
      </c>
      <c r="AX35" s="41" t="n">
        <f aca="false">IF(Inputs!$B$88=2,AX32*AX27,AX32*Inputs!$B$141)</f>
        <v>178.314788862948</v>
      </c>
      <c r="AY35" s="41" t="n">
        <f aca="false">IF(Inputs!$B$88=2,AY32*AY27,AY32*Inputs!$B$141)</f>
        <v>182.772658584522</v>
      </c>
      <c r="AZ35" s="41" t="n">
        <f aca="false">IF(Inputs!$B$88=2,AZ32*AZ27,AZ32*Inputs!$B$141)</f>
        <v>187.341975049135</v>
      </c>
    </row>
    <row r="36" customFormat="false" ht="15" hidden="false" customHeight="true" outlineLevel="0" collapsed="false">
      <c r="A36" s="13" t="s">
        <v>629</v>
      </c>
      <c r="C36" s="41" t="n">
        <f aca="false">SUM(D36:AZ36)</f>
        <v>0</v>
      </c>
      <c r="D36" s="41" t="n">
        <f aca="false">IF(Inputs!$B$88=2,0,-(D32*Inputs!$B$142+D35*Inputs!$B$143))</f>
        <v>0</v>
      </c>
      <c r="E36" s="41" t="n">
        <f aca="false">IF(Inputs!$B$88=2,0,-(E32*Inputs!$B$142+E35*Inputs!$B$143))</f>
        <v>0</v>
      </c>
      <c r="F36" s="41" t="n">
        <f aca="false">IF(Inputs!$B$88=2,0,-(F32*Inputs!$B$142+F35*Inputs!$B$143))</f>
        <v>0</v>
      </c>
      <c r="G36" s="41" t="n">
        <f aca="false">IF(Inputs!$B$88=2,0,-(G32*Inputs!$B$142+G35*Inputs!$B$143))</f>
        <v>0</v>
      </c>
      <c r="H36" s="41" t="n">
        <f aca="false">IF(Inputs!$B$88=2,0,-(H32*Inputs!$B$142+H35*Inputs!$B$143))</f>
        <v>0</v>
      </c>
      <c r="I36" s="41" t="n">
        <f aca="false">IF(Inputs!$B$88=2,0,-(I32*Inputs!$B$142+I35*Inputs!$B$143))</f>
        <v>0</v>
      </c>
      <c r="J36" s="41" t="n">
        <f aca="false">IF(Inputs!$B$88=2,0,-(J32*Inputs!$B$142+J35*Inputs!$B$143))</f>
        <v>0</v>
      </c>
      <c r="K36" s="41" t="n">
        <f aca="false">IF(Inputs!$B$88=2,0,-(K32*Inputs!$B$142+K35*Inputs!$B$143))</f>
        <v>0</v>
      </c>
      <c r="L36" s="41" t="n">
        <f aca="false">IF(Inputs!$B$88=2,0,-(L32*Inputs!$B$142+L35*Inputs!$B$143))</f>
        <v>0</v>
      </c>
      <c r="M36" s="41" t="n">
        <f aca="false">IF(Inputs!$B$88=2,0,-(M32*Inputs!$B$142+M35*Inputs!$B$143))</f>
        <v>0</v>
      </c>
      <c r="N36" s="41" t="n">
        <f aca="false">IF(Inputs!$B$88=2,0,-(N32*Inputs!$B$142+N35*Inputs!$B$143))</f>
        <v>0</v>
      </c>
      <c r="O36" s="41" t="n">
        <f aca="false">IF(Inputs!$B$88=2,0,-(O32*Inputs!$B$142+O35*Inputs!$B$143))</f>
        <v>0</v>
      </c>
      <c r="P36" s="41" t="n">
        <f aca="false">IF(Inputs!$B$88=2,0,-(P32*Inputs!$B$142+P35*Inputs!$B$143))</f>
        <v>0</v>
      </c>
      <c r="Q36" s="41" t="n">
        <f aca="false">IF(Inputs!$B$88=2,0,-(Q32*Inputs!$B$142+Q35*Inputs!$B$143))</f>
        <v>0</v>
      </c>
      <c r="R36" s="41" t="n">
        <f aca="false">IF(Inputs!$B$88=2,0,-(R32*Inputs!$B$142+R35*Inputs!$B$143))</f>
        <v>0</v>
      </c>
      <c r="S36" s="41" t="n">
        <f aca="false">IF(Inputs!$B$88=2,0,-(S32*Inputs!$B$142+S35*Inputs!$B$143))</f>
        <v>0</v>
      </c>
      <c r="T36" s="41" t="n">
        <f aca="false">IF(Inputs!$B$88=2,0,-(T32*Inputs!$B$142+T35*Inputs!$B$143))</f>
        <v>0</v>
      </c>
      <c r="U36" s="41" t="n">
        <f aca="false">IF(Inputs!$B$88=2,0,-(U32*Inputs!$B$142+U35*Inputs!$B$143))</f>
        <v>0</v>
      </c>
      <c r="V36" s="41" t="n">
        <f aca="false">IF(Inputs!$B$88=2,0,-(V32*Inputs!$B$142+V35*Inputs!$B$143))</f>
        <v>0</v>
      </c>
      <c r="W36" s="41" t="n">
        <f aca="false">IF(Inputs!$B$88=2,0,-(W32*Inputs!$B$142+W35*Inputs!$B$143))</f>
        <v>0</v>
      </c>
      <c r="X36" s="41" t="n">
        <f aca="false">IF(Inputs!$B$88=2,0,-(X32*Inputs!$B$142+X35*Inputs!$B$143))</f>
        <v>0</v>
      </c>
      <c r="Y36" s="41" t="n">
        <f aca="false">IF(Inputs!$B$88=2,0,-(Y32*Inputs!$B$142+Y35*Inputs!$B$143))</f>
        <v>0</v>
      </c>
      <c r="Z36" s="41" t="n">
        <f aca="false">IF(Inputs!$B$88=2,0,-(Z32*Inputs!$B$142+Z35*Inputs!$B$143))</f>
        <v>0</v>
      </c>
      <c r="AA36" s="41" t="n">
        <f aca="false">IF(Inputs!$B$88=2,0,-(AA32*Inputs!$B$142+AA35*Inputs!$B$143))</f>
        <v>0</v>
      </c>
      <c r="AB36" s="41" t="n">
        <f aca="false">IF(Inputs!$B$88=2,0,-(AB32*Inputs!$B$142+AB35*Inputs!$B$143))</f>
        <v>0</v>
      </c>
      <c r="AC36" s="41" t="n">
        <f aca="false">IF(Inputs!$B$88=2,0,-(AC32*Inputs!$B$142+AC35*Inputs!$B$143))</f>
        <v>0</v>
      </c>
      <c r="AD36" s="41" t="n">
        <f aca="false">IF(Inputs!$B$88=2,0,-(AD32*Inputs!$B$142+AD35*Inputs!$B$143))</f>
        <v>0</v>
      </c>
      <c r="AE36" s="41" t="n">
        <f aca="false">IF(Inputs!$B$88=2,0,-(AE32*Inputs!$B$142+AE35*Inputs!$B$143))</f>
        <v>0</v>
      </c>
      <c r="AF36" s="41" t="n">
        <f aca="false">IF(Inputs!$B$88=2,0,-(AF32*Inputs!$B$142+AF35*Inputs!$B$143))</f>
        <v>0</v>
      </c>
      <c r="AG36" s="41" t="n">
        <f aca="false">IF(Inputs!$B$88=2,0,-(AG32*Inputs!$B$142+AG35*Inputs!$B$143))</f>
        <v>0</v>
      </c>
      <c r="AH36" s="41" t="n">
        <f aca="false">IF(Inputs!$B$88=2,0,-(AH32*Inputs!$B$142+AH35*Inputs!$B$143))</f>
        <v>0</v>
      </c>
      <c r="AI36" s="41" t="n">
        <f aca="false">IF(Inputs!$B$88=2,0,-(AI32*Inputs!$B$142+AI35*Inputs!$B$143))</f>
        <v>0</v>
      </c>
      <c r="AJ36" s="41" t="n">
        <f aca="false">IF(Inputs!$B$88=2,0,-(AJ32*Inputs!$B$142+AJ35*Inputs!$B$143))</f>
        <v>0</v>
      </c>
      <c r="AK36" s="41" t="n">
        <f aca="false">IF(Inputs!$B$88=2,0,-(AK32*Inputs!$B$142+AK35*Inputs!$B$143))</f>
        <v>0</v>
      </c>
      <c r="AL36" s="41" t="n">
        <f aca="false">IF(Inputs!$B$88=2,0,-(AL32*Inputs!$B$142+AL35*Inputs!$B$143))</f>
        <v>0</v>
      </c>
      <c r="AM36" s="41" t="n">
        <f aca="false">IF(Inputs!$B$88=2,0,-(AM32*Inputs!$B$142+AM35*Inputs!$B$143))</f>
        <v>0</v>
      </c>
      <c r="AN36" s="41" t="n">
        <f aca="false">IF(Inputs!$B$88=2,0,-(AN32*Inputs!$B$142+AN35*Inputs!$B$143))</f>
        <v>0</v>
      </c>
      <c r="AO36" s="41" t="n">
        <f aca="false">IF(Inputs!$B$88=2,0,-(AO32*Inputs!$B$142+AO35*Inputs!$B$143))</f>
        <v>0</v>
      </c>
      <c r="AP36" s="41" t="n">
        <f aca="false">IF(Inputs!$B$88=2,0,-(AP32*Inputs!$B$142+AP35*Inputs!$B$143))</f>
        <v>0</v>
      </c>
      <c r="AQ36" s="41" t="n">
        <f aca="false">IF(Inputs!$B$88=2,0,-(AQ32*Inputs!$B$142+AQ35*Inputs!$B$143))</f>
        <v>0</v>
      </c>
      <c r="AR36" s="41" t="n">
        <f aca="false">IF(Inputs!$B$88=2,0,-(AR32*Inputs!$B$142+AR35*Inputs!$B$143))</f>
        <v>0</v>
      </c>
      <c r="AS36" s="41" t="n">
        <f aca="false">IF(Inputs!$B$88=2,0,-(AS32*Inputs!$B$142+AS35*Inputs!$B$143))</f>
        <v>0</v>
      </c>
      <c r="AT36" s="41" t="n">
        <f aca="false">IF(Inputs!$B$88=2,0,-(AT32*Inputs!$B$142+AT35*Inputs!$B$143))</f>
        <v>0</v>
      </c>
      <c r="AU36" s="41" t="n">
        <f aca="false">IF(Inputs!$B$88=2,0,-(AU32*Inputs!$B$142+AU35*Inputs!$B$143))</f>
        <v>0</v>
      </c>
      <c r="AV36" s="41" t="n">
        <f aca="false">IF(Inputs!$B$88=2,0,-(AV32*Inputs!$B$142+AV35*Inputs!$B$143))</f>
        <v>0</v>
      </c>
      <c r="AW36" s="41" t="n">
        <f aca="false">IF(Inputs!$B$88=2,0,-(AW32*Inputs!$B$142+AW35*Inputs!$B$143))</f>
        <v>0</v>
      </c>
      <c r="AX36" s="41" t="n">
        <f aca="false">IF(Inputs!$B$88=2,0,-(AX32*Inputs!$B$142+AX35*Inputs!$B$143))</f>
        <v>0</v>
      </c>
      <c r="AY36" s="41" t="n">
        <f aca="false">IF(Inputs!$B$88=2,0,-(AY32*Inputs!$B$142+AY35*Inputs!$B$143))</f>
        <v>0</v>
      </c>
      <c r="AZ36" s="41" t="n">
        <f aca="false">IF(Inputs!$B$88=2,0,-(AZ32*Inputs!$B$142+AZ35*Inputs!$B$143))</f>
        <v>0</v>
      </c>
    </row>
    <row r="37" customFormat="false" ht="15" hidden="false" customHeight="true" outlineLevel="0" collapsed="false">
      <c r="A37" s="13" t="s">
        <v>417</v>
      </c>
      <c r="C37" s="41" t="n">
        <f aca="false">SUM(D37:AZ37)</f>
        <v>-175.335770590708</v>
      </c>
      <c r="D37" s="41" t="n">
        <f aca="false">-IF(D31&gt;0,Inputs!$B$144*(1+Inputs!$B$166)^(2026-2028),0)</f>
        <v>-0</v>
      </c>
      <c r="E37" s="41" t="n">
        <f aca="false">-IF(E31&gt;0,Inputs!$B$144*(1+Inputs!$B$166)^(2027-2028),0)</f>
        <v>-0</v>
      </c>
      <c r="F37" s="41" t="n">
        <f aca="false">-IF(F31&gt;0,Inputs!$B$144*(1+Inputs!$B$166)^(2028-2028),0)</f>
        <v>-2</v>
      </c>
      <c r="G37" s="41" t="n">
        <f aca="false">-IF(G31&gt;0,Inputs!$B$144*(1+Inputs!$B$166)^(2029-2028),0)</f>
        <v>-2.05</v>
      </c>
      <c r="H37" s="41" t="n">
        <f aca="false">-IF(H31&gt;0,Inputs!$B$144*(1+Inputs!$B$166)^(2030-2028),0)</f>
        <v>-2.10125</v>
      </c>
      <c r="I37" s="41" t="n">
        <f aca="false">-IF(I31&gt;0,Inputs!$B$144*(1+Inputs!$B$166)^(2031-2028),0)</f>
        <v>-2.15378125</v>
      </c>
      <c r="J37" s="41" t="n">
        <f aca="false">-IF(J31&gt;0,Inputs!$B$144*(1+Inputs!$B$166)^(2032-2028),0)</f>
        <v>-2.20762578125</v>
      </c>
      <c r="K37" s="41" t="n">
        <f aca="false">-IF(K31&gt;0,Inputs!$B$144*(1+Inputs!$B$166)^(2033-2028),0)</f>
        <v>-2.26281642578125</v>
      </c>
      <c r="L37" s="41" t="n">
        <f aca="false">-IF(L31&gt;0,Inputs!$B$144*(1+Inputs!$B$166)^(2034-2028),0)</f>
        <v>-2.31938683642578</v>
      </c>
      <c r="M37" s="41" t="n">
        <f aca="false">-IF(M31&gt;0,Inputs!$B$144*(1+Inputs!$B$166)^(2035-2028),0)</f>
        <v>-2.37737150733642</v>
      </c>
      <c r="N37" s="41" t="n">
        <f aca="false">-IF(N31&gt;0,Inputs!$B$144*(1+Inputs!$B$166)^(2036-2028),0)</f>
        <v>-2.43680579501983</v>
      </c>
      <c r="O37" s="41" t="n">
        <f aca="false">-IF(O31&gt;0,Inputs!$B$144*(1+Inputs!$B$166)^(2037-2028),0)</f>
        <v>-2.49772593989533</v>
      </c>
      <c r="P37" s="41" t="n">
        <f aca="false">-IF(P31&gt;0,Inputs!$B$144*(1+Inputs!$B$166)^(2038-2028),0)</f>
        <v>-2.56016908839271</v>
      </c>
      <c r="Q37" s="41" t="n">
        <f aca="false">-IF(Q31&gt;0,Inputs!$B$144*(1+Inputs!$B$166)^(2039-2028),0)</f>
        <v>-2.62417331560253</v>
      </c>
      <c r="R37" s="41" t="n">
        <f aca="false">-IF(R31&gt;0,Inputs!$B$144*(1+Inputs!$B$166)^(2040-2028),0)</f>
        <v>-2.68977764849259</v>
      </c>
      <c r="S37" s="41" t="n">
        <f aca="false">-IF(S31&gt;0,Inputs!$B$144*(1+Inputs!$B$166)^(2041-2028),0)</f>
        <v>-2.75702208970491</v>
      </c>
      <c r="T37" s="41" t="n">
        <f aca="false">-IF(T31&gt;0,Inputs!$B$144*(1+Inputs!$B$166)^(2042-2028),0)</f>
        <v>-2.82594764194753</v>
      </c>
      <c r="U37" s="41" t="n">
        <f aca="false">-IF(U31&gt;0,Inputs!$B$144*(1+Inputs!$B$166)^(2043-2028),0)</f>
        <v>-2.89659633299622</v>
      </c>
      <c r="V37" s="41" t="n">
        <f aca="false">-IF(V31&gt;0,Inputs!$B$144*(1+Inputs!$B$166)^(2044-2028),0)</f>
        <v>-2.96901124132112</v>
      </c>
      <c r="W37" s="41" t="n">
        <f aca="false">-IF(W31&gt;0,Inputs!$B$144*(1+Inputs!$B$166)^(2045-2028),0)</f>
        <v>-3.04323652235415</v>
      </c>
      <c r="X37" s="41" t="n">
        <f aca="false">-IF(X31&gt;0,Inputs!$B$144*(1+Inputs!$B$166)^(2046-2028),0)</f>
        <v>-3.11931743541301</v>
      </c>
      <c r="Y37" s="41" t="n">
        <f aca="false">-IF(Y31&gt;0,Inputs!$B$144*(1+Inputs!$B$166)^(2047-2028),0)</f>
        <v>-3.19730037129833</v>
      </c>
      <c r="Z37" s="41" t="n">
        <f aca="false">-IF(Z31&gt;0,Inputs!$B$144*(1+Inputs!$B$166)^(2048-2028),0)</f>
        <v>-3.27723288058079</v>
      </c>
      <c r="AA37" s="41" t="n">
        <f aca="false">-IF(AA31&gt;0,Inputs!$B$144*(1+Inputs!$B$166)^(2049-2028),0)</f>
        <v>-3.35916370259531</v>
      </c>
      <c r="AB37" s="41" t="n">
        <f aca="false">-IF(AB31&gt;0,Inputs!$B$144*(1+Inputs!$B$166)^(2050-2028),0)</f>
        <v>-3.44314279516019</v>
      </c>
      <c r="AC37" s="41" t="n">
        <f aca="false">-IF(AC31&gt;0,Inputs!$B$144*(1+Inputs!$B$166)^(2051-2028),0)</f>
        <v>-3.5292213650392</v>
      </c>
      <c r="AD37" s="41" t="n">
        <f aca="false">-IF(AD31&gt;0,Inputs!$B$144*(1+Inputs!$B$166)^(2052-2028),0)</f>
        <v>-3.61745189916517</v>
      </c>
      <c r="AE37" s="41" t="n">
        <f aca="false">-IF(AE31&gt;0,Inputs!$B$144*(1+Inputs!$B$166)^(2053-2028),0)</f>
        <v>-3.7078881966443</v>
      </c>
      <c r="AF37" s="41" t="n">
        <f aca="false">-IF(AF31&gt;0,Inputs!$B$144*(1+Inputs!$B$166)^(2054-2028),0)</f>
        <v>-3.80058540156041</v>
      </c>
      <c r="AG37" s="41" t="n">
        <f aca="false">-IF(AG31&gt;0,Inputs!$B$144*(1+Inputs!$B$166)^(2055-2028),0)</f>
        <v>-3.89560003659942</v>
      </c>
      <c r="AH37" s="41" t="n">
        <f aca="false">-IF(AH31&gt;0,Inputs!$B$144*(1+Inputs!$B$166)^(2056-2028),0)</f>
        <v>-3.99299003751441</v>
      </c>
      <c r="AI37" s="41" t="n">
        <f aca="false">-IF(AI31&gt;0,Inputs!$B$144*(1+Inputs!$B$166)^(2057-2028),0)</f>
        <v>-4.09281478845227</v>
      </c>
      <c r="AJ37" s="41" t="n">
        <f aca="false">-IF(AJ31&gt;0,Inputs!$B$144*(1+Inputs!$B$166)^(2058-2028),0)</f>
        <v>-4.19513515816357</v>
      </c>
      <c r="AK37" s="41" t="n">
        <f aca="false">-IF(AK31&gt;0,Inputs!$B$144*(1+Inputs!$B$166)^(2059-2028),0)</f>
        <v>-4.30001353711766</v>
      </c>
      <c r="AL37" s="41" t="n">
        <f aca="false">-IF(AL31&gt;0,Inputs!$B$144*(1+Inputs!$B$166)^(2060-2028),0)</f>
        <v>-4.4075138755456</v>
      </c>
      <c r="AM37" s="41" t="n">
        <f aca="false">-IF(AM31&gt;0,Inputs!$B$144*(1+Inputs!$B$166)^(2061-2028),0)</f>
        <v>-4.51770172243424</v>
      </c>
      <c r="AN37" s="41" t="n">
        <f aca="false">-IF(AN31&gt;0,Inputs!$B$144*(1+Inputs!$B$166)^(2062-2028),0)</f>
        <v>-4.6306442654951</v>
      </c>
      <c r="AO37" s="41" t="n">
        <f aca="false">-IF(AO31&gt;0,Inputs!$B$144*(1+Inputs!$B$166)^(2063-2028),0)</f>
        <v>-4.74641037213247</v>
      </c>
      <c r="AP37" s="41" t="n">
        <f aca="false">-IF(AP31&gt;0,Inputs!$B$144*(1+Inputs!$B$166)^(2064-2028),0)</f>
        <v>-4.86507063143579</v>
      </c>
      <c r="AQ37" s="41" t="n">
        <f aca="false">-IF(AQ31&gt;0,Inputs!$B$144*(1+Inputs!$B$166)^(2065-2028),0)</f>
        <v>-4.98669739722168</v>
      </c>
      <c r="AR37" s="41" t="n">
        <f aca="false">-IF(AR31&gt;0,Inputs!$B$144*(1+Inputs!$B$166)^(2066-2028),0)</f>
        <v>-5.11136483215222</v>
      </c>
      <c r="AS37" s="41" t="n">
        <f aca="false">-IF(AS31&gt;0,Inputs!$B$144*(1+Inputs!$B$166)^(2067-2028),0)</f>
        <v>-5.23914895295603</v>
      </c>
      <c r="AT37" s="41" t="n">
        <f aca="false">-IF(AT31&gt;0,Inputs!$B$144*(1+Inputs!$B$166)^(2068-2028),0)</f>
        <v>-5.37012767677993</v>
      </c>
      <c r="AU37" s="41" t="n">
        <f aca="false">-IF(AU31&gt;0,Inputs!$B$144*(1+Inputs!$B$166)^(2069-2028),0)</f>
        <v>-5.50438086869943</v>
      </c>
      <c r="AV37" s="41" t="n">
        <f aca="false">-IF(AV31&gt;0,Inputs!$B$144*(1+Inputs!$B$166)^(2070-2028),0)</f>
        <v>-5.64199039041691</v>
      </c>
      <c r="AW37" s="41" t="n">
        <f aca="false">-IF(AW31&gt;0,Inputs!$B$144*(1+Inputs!$B$166)^(2071-2028),0)</f>
        <v>-5.78304015017733</v>
      </c>
      <c r="AX37" s="41" t="n">
        <f aca="false">-IF(AX31&gt;0,Inputs!$B$144*(1+Inputs!$B$166)^(2072-2028),0)</f>
        <v>-5.92761615393177</v>
      </c>
      <c r="AY37" s="41" t="n">
        <f aca="false">-IF(AY31&gt;0,Inputs!$B$144*(1+Inputs!$B$166)^(2073-2028),0)</f>
        <v>-6.07580655778006</v>
      </c>
      <c r="AZ37" s="41" t="n">
        <f aca="false">-IF(AZ31&gt;0,Inputs!$B$144*(1+Inputs!$B$166)^(2074-2028),0)</f>
        <v>-6.22770172172456</v>
      </c>
    </row>
    <row r="38" customFormat="false" ht="15" hidden="false" customHeight="true" outlineLevel="0" collapsed="false">
      <c r="A38" s="6" t="s">
        <v>630</v>
      </c>
      <c r="C38" s="44" t="n">
        <f aca="false">SUM(D38:AZ38)</f>
        <v>4881.78120642385</v>
      </c>
      <c r="D38" s="44" t="n">
        <f aca="false">SUM(D35:D37)</f>
        <v>0</v>
      </c>
      <c r="E38" s="44" t="n">
        <f aca="false">SUM(E35:E37)</f>
        <v>0</v>
      </c>
      <c r="F38" s="44" t="n">
        <f aca="false">SUM(F35:F37)</f>
        <v>7.251</v>
      </c>
      <c r="G38" s="44" t="n">
        <f aca="false">SUM(G35:G37)</f>
        <v>34.928</v>
      </c>
      <c r="H38" s="44" t="n">
        <f aca="false">SUM(H35:H37)</f>
        <v>37.41175</v>
      </c>
      <c r="I38" s="44" t="n">
        <f aca="false">SUM(I35:I37)</f>
        <v>39.21221875</v>
      </c>
      <c r="J38" s="44" t="n">
        <f aca="false">SUM(J35:J37)</f>
        <v>42.96437421875</v>
      </c>
      <c r="K38" s="44" t="n">
        <f aca="false">SUM(K35:K37)</f>
        <v>46.9461835742188</v>
      </c>
      <c r="L38" s="44" t="n">
        <f aca="false">SUM(L35:L37)</f>
        <v>51.5386131635742</v>
      </c>
      <c r="M38" s="44" t="n">
        <f aca="false">SUM(M35:M37)</f>
        <v>56.5836284926636</v>
      </c>
      <c r="N38" s="44" t="n">
        <f aca="false">SUM(N35:N37)</f>
        <v>60.7931942049802</v>
      </c>
      <c r="O38" s="44" t="n">
        <f aca="false">SUM(O35:O37)</f>
        <v>64.9322740601047</v>
      </c>
      <c r="P38" s="44" t="n">
        <f aca="false">SUM(P35:P37)</f>
        <v>69.0288309116073</v>
      </c>
      <c r="Q38" s="44" t="n">
        <f aca="false">SUM(Q35:Q37)</f>
        <v>73.4748266843975</v>
      </c>
      <c r="R38" s="44" t="n">
        <f aca="false">SUM(R35:R37)</f>
        <v>78.2242223515074</v>
      </c>
      <c r="S38" s="44" t="n">
        <f aca="false">SUM(S35:S37)</f>
        <v>80.1798279102951</v>
      </c>
      <c r="T38" s="44" t="n">
        <f aca="false">SUM(T35:T37)</f>
        <v>82.1843236080525</v>
      </c>
      <c r="U38" s="44" t="n">
        <f aca="false">SUM(U35:U37)</f>
        <v>84.2389316982537</v>
      </c>
      <c r="V38" s="44" t="n">
        <f aca="false">SUM(V35:V37)</f>
        <v>86.3449049907101</v>
      </c>
      <c r="W38" s="44" t="n">
        <f aca="false">SUM(W35:W37)</f>
        <v>88.5035276154778</v>
      </c>
      <c r="X38" s="44" t="n">
        <f aca="false">SUM(X35:X37)</f>
        <v>90.7161158058648</v>
      </c>
      <c r="Y38" s="44" t="n">
        <f aca="false">SUM(Y35:Y37)</f>
        <v>92.9840187010114</v>
      </c>
      <c r="Z38" s="44" t="n">
        <f aca="false">SUM(Z35:Z37)</f>
        <v>95.3086191685367</v>
      </c>
      <c r="AA38" s="44" t="n">
        <f aca="false">SUM(AA35:AA37)</f>
        <v>97.6913346477501</v>
      </c>
      <c r="AB38" s="44" t="n">
        <f aca="false">SUM(AB35:AB37)</f>
        <v>100.133618013944</v>
      </c>
      <c r="AC38" s="44" t="n">
        <f aca="false">SUM(AC35:AC37)</f>
        <v>102.636958464292</v>
      </c>
      <c r="AD38" s="44" t="n">
        <f aca="false">SUM(AD35:AD37)</f>
        <v>105.2028824259</v>
      </c>
      <c r="AE38" s="44" t="n">
        <f aca="false">SUM(AE35:AE37)</f>
        <v>107.832954486547</v>
      </c>
      <c r="AF38" s="44" t="n">
        <f aca="false">SUM(AF35:AF37)</f>
        <v>110.528778348711</v>
      </c>
      <c r="AG38" s="44" t="n">
        <f aca="false">SUM(AG35:AG37)</f>
        <v>113.291997807429</v>
      </c>
      <c r="AH38" s="44" t="n">
        <f aca="false">SUM(AH35:AH37)</f>
        <v>116.124297752614</v>
      </c>
      <c r="AI38" s="44" t="n">
        <f aca="false">SUM(AI35:AI37)</f>
        <v>119.02740519643</v>
      </c>
      <c r="AJ38" s="44" t="n">
        <f aca="false">SUM(AJ35:AJ37)</f>
        <v>122.00309032634</v>
      </c>
      <c r="AK38" s="44" t="n">
        <f aca="false">SUM(AK35:AK37)</f>
        <v>125.053167584499</v>
      </c>
      <c r="AL38" s="44" t="n">
        <f aca="false">SUM(AL35:AL37)</f>
        <v>128.179496774111</v>
      </c>
      <c r="AM38" s="44" t="n">
        <f aca="false">SUM(AM35:AM37)</f>
        <v>131.383984193464</v>
      </c>
      <c r="AN38" s="44" t="n">
        <f aca="false">SUM(AN35:AN37)</f>
        <v>134.668583798301</v>
      </c>
      <c r="AO38" s="44" t="n">
        <f aca="false">SUM(AO35:AO37)</f>
        <v>138.035298393258</v>
      </c>
      <c r="AP38" s="44" t="n">
        <f aca="false">SUM(AP35:AP37)</f>
        <v>141.48618085309</v>
      </c>
      <c r="AQ38" s="44" t="n">
        <f aca="false">SUM(AQ35:AQ37)</f>
        <v>145.023335374417</v>
      </c>
      <c r="AR38" s="44" t="n">
        <f aca="false">SUM(AR35:AR37)</f>
        <v>148.648918758777</v>
      </c>
      <c r="AS38" s="44" t="n">
        <f aca="false">SUM(AS35:AS37)</f>
        <v>152.365141727747</v>
      </c>
      <c r="AT38" s="44" t="n">
        <f aca="false">SUM(AT35:AT37)</f>
        <v>156.17427027094</v>
      </c>
      <c r="AU38" s="44" t="n">
        <f aca="false">SUM(AU35:AU37)</f>
        <v>160.078627027714</v>
      </c>
      <c r="AV38" s="44" t="n">
        <f aca="false">SUM(AV35:AV37)</f>
        <v>164.080592703407</v>
      </c>
      <c r="AW38" s="44" t="n">
        <f aca="false">SUM(AW35:AW37)</f>
        <v>168.182607520992</v>
      </c>
      <c r="AX38" s="44" t="n">
        <f aca="false">SUM(AX35:AX37)</f>
        <v>172.387172709017</v>
      </c>
      <c r="AY38" s="44" t="n">
        <f aca="false">SUM(AY35:AY37)</f>
        <v>176.696852026742</v>
      </c>
      <c r="AZ38" s="44" t="n">
        <f aca="false">SUM(AZ35:AZ37)</f>
        <v>181.114273327411</v>
      </c>
    </row>
    <row r="40" customFormat="false" ht="15" hidden="false" customHeight="true" outlineLevel="0" collapsed="false">
      <c r="A40" s="11" t="s">
        <v>599</v>
      </c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</row>
    <row r="41" customFormat="false" ht="15" hidden="false" customHeight="true" outlineLevel="0" collapsed="false">
      <c r="A41" s="13" t="s">
        <v>600</v>
      </c>
      <c r="C41" s="41" t="n">
        <f aca="false">SUM(D41:AZ41)</f>
        <v>0</v>
      </c>
      <c r="D41" s="41" t="n">
        <f aca="false">-D32*Inputs!$B$13*Inputs!$B$15</f>
        <v>-0</v>
      </c>
      <c r="E41" s="41" t="n">
        <f aca="false">-E32*Inputs!$B$13*Inputs!$B$15</f>
        <v>-0</v>
      </c>
      <c r="F41" s="41" t="n">
        <f aca="false">-F32*Inputs!$B$13*Inputs!$B$15</f>
        <v>-0</v>
      </c>
      <c r="G41" s="41" t="n">
        <f aca="false">-G32*Inputs!$B$13*Inputs!$B$15</f>
        <v>-0</v>
      </c>
      <c r="H41" s="41" t="n">
        <f aca="false">-H32*Inputs!$B$13*Inputs!$B$15</f>
        <v>-0</v>
      </c>
      <c r="I41" s="41" t="n">
        <f aca="false">-I32*Inputs!$B$13*Inputs!$B$15</f>
        <v>-0</v>
      </c>
      <c r="J41" s="41" t="n">
        <f aca="false">-J32*Inputs!$B$13*Inputs!$B$15</f>
        <v>-0</v>
      </c>
      <c r="K41" s="41" t="n">
        <f aca="false">-K32*Inputs!$B$13*Inputs!$B$15</f>
        <v>-0</v>
      </c>
      <c r="L41" s="41" t="n">
        <f aca="false">-L32*Inputs!$B$13*Inputs!$B$15</f>
        <v>-0</v>
      </c>
      <c r="M41" s="41" t="n">
        <f aca="false">-M32*Inputs!$B$13*Inputs!$B$15</f>
        <v>-0</v>
      </c>
      <c r="N41" s="41" t="n">
        <f aca="false">-N32*Inputs!$B$13*Inputs!$B$15</f>
        <v>-0</v>
      </c>
      <c r="O41" s="41" t="n">
        <f aca="false">-O32*Inputs!$B$13*Inputs!$B$15</f>
        <v>-0</v>
      </c>
      <c r="P41" s="41" t="n">
        <f aca="false">-P32*Inputs!$B$13*Inputs!$B$15</f>
        <v>-0</v>
      </c>
      <c r="Q41" s="41" t="n">
        <f aca="false">-Q32*Inputs!$B$13*Inputs!$B$15</f>
        <v>-0</v>
      </c>
      <c r="R41" s="41" t="n">
        <f aca="false">-R32*Inputs!$B$13*Inputs!$B$15</f>
        <v>-0</v>
      </c>
      <c r="S41" s="41" t="n">
        <f aca="false">-S32*Inputs!$B$13*Inputs!$B$15</f>
        <v>-0</v>
      </c>
      <c r="T41" s="41" t="n">
        <f aca="false">-T32*Inputs!$B$13*Inputs!$B$15</f>
        <v>-0</v>
      </c>
      <c r="U41" s="41" t="n">
        <f aca="false">-U32*Inputs!$B$13*Inputs!$B$15</f>
        <v>-0</v>
      </c>
      <c r="V41" s="41" t="n">
        <f aca="false">-V32*Inputs!$B$13*Inputs!$B$15</f>
        <v>-0</v>
      </c>
      <c r="W41" s="41" t="n">
        <f aca="false">-W32*Inputs!$B$13*Inputs!$B$15</f>
        <v>-0</v>
      </c>
      <c r="X41" s="41" t="n">
        <f aca="false">-X32*Inputs!$B$13*Inputs!$B$15</f>
        <v>-0</v>
      </c>
      <c r="Y41" s="41" t="n">
        <f aca="false">-Y32*Inputs!$B$13*Inputs!$B$15</f>
        <v>-0</v>
      </c>
      <c r="Z41" s="41" t="n">
        <f aca="false">-Z32*Inputs!$B$13*Inputs!$B$15</f>
        <v>-0</v>
      </c>
      <c r="AA41" s="41" t="n">
        <f aca="false">-AA32*Inputs!$B$13*Inputs!$B$15</f>
        <v>-0</v>
      </c>
      <c r="AB41" s="41" t="n">
        <f aca="false">-AB32*Inputs!$B$13*Inputs!$B$15</f>
        <v>-0</v>
      </c>
      <c r="AC41" s="41" t="n">
        <f aca="false">-AC32*Inputs!$B$13*Inputs!$B$15</f>
        <v>-0</v>
      </c>
      <c r="AD41" s="41" t="n">
        <f aca="false">-AD32*Inputs!$B$13*Inputs!$B$15</f>
        <v>-0</v>
      </c>
      <c r="AE41" s="41" t="n">
        <f aca="false">-AE32*Inputs!$B$13*Inputs!$B$15</f>
        <v>-0</v>
      </c>
      <c r="AF41" s="41" t="n">
        <f aca="false">-AF32*Inputs!$B$13*Inputs!$B$15</f>
        <v>-0</v>
      </c>
      <c r="AG41" s="41" t="n">
        <f aca="false">-AG32*Inputs!$B$13*Inputs!$B$15</f>
        <v>-0</v>
      </c>
      <c r="AH41" s="41" t="n">
        <f aca="false">-AH32*Inputs!$B$13*Inputs!$B$15</f>
        <v>-0</v>
      </c>
      <c r="AI41" s="41" t="n">
        <f aca="false">-AI32*Inputs!$B$13*Inputs!$B$15</f>
        <v>-0</v>
      </c>
      <c r="AJ41" s="41" t="n">
        <f aca="false">-AJ32*Inputs!$B$13*Inputs!$B$15</f>
        <v>-0</v>
      </c>
      <c r="AK41" s="41" t="n">
        <f aca="false">-AK32*Inputs!$B$13*Inputs!$B$15</f>
        <v>-0</v>
      </c>
      <c r="AL41" s="41" t="n">
        <f aca="false">-AL32*Inputs!$B$13*Inputs!$B$15</f>
        <v>-0</v>
      </c>
      <c r="AM41" s="41" t="n">
        <f aca="false">-AM32*Inputs!$B$13*Inputs!$B$15</f>
        <v>-0</v>
      </c>
      <c r="AN41" s="41" t="n">
        <f aca="false">-AN32*Inputs!$B$13*Inputs!$B$15</f>
        <v>-0</v>
      </c>
      <c r="AO41" s="41" t="n">
        <f aca="false">-AO32*Inputs!$B$13*Inputs!$B$15</f>
        <v>-0</v>
      </c>
      <c r="AP41" s="41" t="n">
        <f aca="false">-AP32*Inputs!$B$13*Inputs!$B$15</f>
        <v>-0</v>
      </c>
      <c r="AQ41" s="41" t="n">
        <f aca="false">-AQ32*Inputs!$B$13*Inputs!$B$15</f>
        <v>-0</v>
      </c>
      <c r="AR41" s="41" t="n">
        <f aca="false">-AR32*Inputs!$B$13*Inputs!$B$15</f>
        <v>-0</v>
      </c>
      <c r="AS41" s="41" t="n">
        <f aca="false">-AS32*Inputs!$B$13*Inputs!$B$15</f>
        <v>-0</v>
      </c>
      <c r="AT41" s="41" t="n">
        <f aca="false">-AT32*Inputs!$B$13*Inputs!$B$15</f>
        <v>-0</v>
      </c>
      <c r="AU41" s="41" t="n">
        <f aca="false">-AU32*Inputs!$B$13*Inputs!$B$15</f>
        <v>-0</v>
      </c>
      <c r="AV41" s="41" t="n">
        <f aca="false">-AV32*Inputs!$B$13*Inputs!$B$15</f>
        <v>-0</v>
      </c>
      <c r="AW41" s="41" t="n">
        <f aca="false">-AW32*Inputs!$B$13*Inputs!$B$15</f>
        <v>-0</v>
      </c>
      <c r="AX41" s="41" t="n">
        <f aca="false">-AX32*Inputs!$B$13*Inputs!$B$15</f>
        <v>-0</v>
      </c>
      <c r="AY41" s="41" t="n">
        <f aca="false">-AY32*Inputs!$B$13*Inputs!$B$15</f>
        <v>-0</v>
      </c>
      <c r="AZ41" s="41" t="n">
        <f aca="false">-AZ32*Inputs!$B$13*Inputs!$B$15</f>
        <v>-0</v>
      </c>
    </row>
    <row r="42" customFormat="false" ht="15" hidden="false" customHeight="true" outlineLevel="0" collapsed="false">
      <c r="A42" s="13" t="s">
        <v>601</v>
      </c>
      <c r="C42" s="41" t="n">
        <f aca="false">SUM(D42:AZ42)</f>
        <v>-237.381274816349</v>
      </c>
      <c r="D42" s="41" t="n">
        <f aca="false">-D32*Inputs!$B$169</f>
        <v>-0</v>
      </c>
      <c r="E42" s="41" t="n">
        <f aca="false">-E32*Inputs!$B$169</f>
        <v>-0</v>
      </c>
      <c r="F42" s="41" t="n">
        <f aca="false">-F32*Inputs!$B$169</f>
        <v>-0.52164</v>
      </c>
      <c r="G42" s="41" t="n">
        <f aca="false">-G32*Inputs!$B$169</f>
        <v>-2.21038</v>
      </c>
      <c r="H42" s="41" t="n">
        <f aca="false">-H32*Inputs!$B$169</f>
        <v>-2.30432</v>
      </c>
      <c r="I42" s="41" t="n">
        <f aca="false">-I32*Inputs!$B$169</f>
        <v>-2.3815</v>
      </c>
      <c r="J42" s="41" t="n">
        <f aca="false">-J32*Inputs!$B$169</f>
        <v>-2.5165</v>
      </c>
      <c r="K42" s="41" t="n">
        <f aca="false">-K32*Inputs!$B$169</f>
        <v>-2.65588</v>
      </c>
      <c r="L42" s="41" t="n">
        <f aca="false">-L32*Inputs!$B$169</f>
        <v>-2.81412</v>
      </c>
      <c r="M42" s="41" t="n">
        <f aca="false">-M32*Inputs!$B$169</f>
        <v>-2.98528</v>
      </c>
      <c r="N42" s="41" t="n">
        <f aca="false">-N32*Inputs!$B$169</f>
        <v>-3.1308</v>
      </c>
      <c r="O42" s="41" t="n">
        <f aca="false">-O32*Inputs!$B$169</f>
        <v>-3.2765</v>
      </c>
      <c r="P42" s="41" t="n">
        <f aca="false">-P32*Inputs!$B$169</f>
        <v>-3.42146</v>
      </c>
      <c r="Q42" s="41" t="n">
        <f aca="false">-Q32*Inputs!$B$169</f>
        <v>-3.5776</v>
      </c>
      <c r="R42" s="41" t="n">
        <f aca="false">-R32*Inputs!$B$169</f>
        <v>-3.7428</v>
      </c>
      <c r="S42" s="41" t="n">
        <f aca="false">-S32*Inputs!$B$169</f>
        <v>-3.83637</v>
      </c>
      <c r="T42" s="41" t="n">
        <f aca="false">-T32*Inputs!$B$169</f>
        <v>-3.93227925</v>
      </c>
      <c r="U42" s="41" t="n">
        <f aca="false">-U32*Inputs!$B$169</f>
        <v>-4.03058623125</v>
      </c>
      <c r="V42" s="41" t="n">
        <f aca="false">-V32*Inputs!$B$169</f>
        <v>-4.13135088703125</v>
      </c>
      <c r="W42" s="41" t="n">
        <f aca="false">-W32*Inputs!$B$169</f>
        <v>-4.23463465920703</v>
      </c>
      <c r="X42" s="41" t="n">
        <f aca="false">-X32*Inputs!$B$169</f>
        <v>-4.3405005256872</v>
      </c>
      <c r="Y42" s="41" t="n">
        <f aca="false">-Y32*Inputs!$B$169</f>
        <v>-4.44901303882939</v>
      </c>
      <c r="Z42" s="41" t="n">
        <f aca="false">-Z32*Inputs!$B$169</f>
        <v>-4.56023836480012</v>
      </c>
      <c r="AA42" s="41" t="n">
        <f aca="false">-AA32*Inputs!$B$169</f>
        <v>-4.67424432392012</v>
      </c>
      <c r="AB42" s="41" t="n">
        <f aca="false">-AB32*Inputs!$B$169</f>
        <v>-4.79110043201812</v>
      </c>
      <c r="AC42" s="41" t="n">
        <f aca="false">-AC32*Inputs!$B$169</f>
        <v>-4.91087794281858</v>
      </c>
      <c r="AD42" s="41" t="n">
        <f aca="false">-AD32*Inputs!$B$169</f>
        <v>-5.03364989138904</v>
      </c>
      <c r="AE42" s="41" t="n">
        <f aca="false">-AE32*Inputs!$B$169</f>
        <v>-5.15949113867377</v>
      </c>
      <c r="AF42" s="41" t="n">
        <f aca="false">-AF32*Inputs!$B$169</f>
        <v>-5.28847841714061</v>
      </c>
      <c r="AG42" s="41" t="n">
        <f aca="false">-AG32*Inputs!$B$169</f>
        <v>-5.42069037756912</v>
      </c>
      <c r="AH42" s="41" t="n">
        <f aca="false">-AH32*Inputs!$B$169</f>
        <v>-5.55620763700835</v>
      </c>
      <c r="AI42" s="41" t="n">
        <f aca="false">-AI32*Inputs!$B$169</f>
        <v>-5.69511282793356</v>
      </c>
      <c r="AJ42" s="41" t="n">
        <f aca="false">-AJ32*Inputs!$B$169</f>
        <v>-5.8374906486319</v>
      </c>
      <c r="AK42" s="41" t="n">
        <f aca="false">-AK32*Inputs!$B$169</f>
        <v>-5.9834279148477</v>
      </c>
      <c r="AL42" s="41" t="n">
        <f aca="false">-AL32*Inputs!$B$169</f>
        <v>-6.13301361271889</v>
      </c>
      <c r="AM42" s="41" t="n">
        <f aca="false">-AM32*Inputs!$B$169</f>
        <v>-6.28633895303686</v>
      </c>
      <c r="AN42" s="41" t="n">
        <f aca="false">-AN32*Inputs!$B$169</f>
        <v>-6.44349742686278</v>
      </c>
      <c r="AO42" s="41" t="n">
        <f aca="false">-AO32*Inputs!$B$169</f>
        <v>-6.60458486253435</v>
      </c>
      <c r="AP42" s="41" t="n">
        <f aca="false">-AP32*Inputs!$B$169</f>
        <v>-6.76969948409771</v>
      </c>
      <c r="AQ42" s="41" t="n">
        <f aca="false">-AQ32*Inputs!$B$169</f>
        <v>-6.93894197120015</v>
      </c>
      <c r="AR42" s="41" t="n">
        <f aca="false">-AR32*Inputs!$B$169</f>
        <v>-7.11241552048015</v>
      </c>
      <c r="AS42" s="41" t="n">
        <f aca="false">-AS32*Inputs!$B$169</f>
        <v>-7.29022590849216</v>
      </c>
      <c r="AT42" s="41" t="n">
        <f aca="false">-AT32*Inputs!$B$169</f>
        <v>-7.47248155620446</v>
      </c>
      <c r="AU42" s="41" t="n">
        <f aca="false">-AU32*Inputs!$B$169</f>
        <v>-7.65929359510957</v>
      </c>
      <c r="AV42" s="41" t="n">
        <f aca="false">-AV32*Inputs!$B$169</f>
        <v>-7.85077593498731</v>
      </c>
      <c r="AW42" s="41" t="n">
        <f aca="false">-AW32*Inputs!$B$169</f>
        <v>-8.04704533336199</v>
      </c>
      <c r="AX42" s="41" t="n">
        <f aca="false">-AX32*Inputs!$B$169</f>
        <v>-8.24822146669604</v>
      </c>
      <c r="AY42" s="41" t="n">
        <f aca="false">-AY32*Inputs!$B$169</f>
        <v>-8.45442700336344</v>
      </c>
      <c r="AZ42" s="41" t="n">
        <f aca="false">-AZ32*Inputs!$B$169</f>
        <v>-8.66578767844752</v>
      </c>
    </row>
    <row r="43" customFormat="false" ht="15" hidden="false" customHeight="true" outlineLevel="0" collapsed="false">
      <c r="A43" s="13" t="s">
        <v>602</v>
      </c>
      <c r="C43" s="41" t="n">
        <f aca="false">SUM(D43:AZ43)</f>
        <v>-76.1884974211837</v>
      </c>
      <c r="D43" s="41" t="n">
        <f aca="false">-Inputs!$B$167*MAX(0,MIN(1,2026+1-Inputs!$B$168))*(Inputs!$B$21/MAX(0.0001,Inputs!$B$20+Inputs!$B$21+Inputs!$B$22))</f>
        <v>-0</v>
      </c>
      <c r="E43" s="41" t="n">
        <f aca="false">-Inputs!$B$167*MAX(0,MIN(1,2027+1-Inputs!$B$168))*(Inputs!$B$21/MAX(0.0001,Inputs!$B$20+Inputs!$B$21+Inputs!$B$22))</f>
        <v>-0</v>
      </c>
      <c r="F43" s="41" t="n">
        <f aca="false">-Inputs!$B$167*MAX(0,MIN(1,2028+1-Inputs!$B$168))*(Inputs!$B$21/MAX(0.0001,Inputs!$B$20+Inputs!$B$21+Inputs!$B$22))</f>
        <v>-1.22227535969813</v>
      </c>
      <c r="G43" s="41" t="n">
        <f aca="false">-Inputs!$B$167*MAX(0,MIN(1,2029+1-Inputs!$B$168))*(Inputs!$B$21/MAX(0.0001,Inputs!$B$20+Inputs!$B$21+Inputs!$B$22))</f>
        <v>-1.62970047959751</v>
      </c>
      <c r="H43" s="41" t="n">
        <f aca="false">-Inputs!$B$167*MAX(0,MIN(1,2030+1-Inputs!$B$168))*(Inputs!$B$21/MAX(0.0001,Inputs!$B$20+Inputs!$B$21+Inputs!$B$22))</f>
        <v>-1.62970047959751</v>
      </c>
      <c r="I43" s="41" t="n">
        <f aca="false">-Inputs!$B$167*MAX(0,MIN(1,2031+1-Inputs!$B$168))*(Inputs!$B$21/MAX(0.0001,Inputs!$B$20+Inputs!$B$21+Inputs!$B$22))</f>
        <v>-1.62970047959751</v>
      </c>
      <c r="J43" s="41" t="n">
        <f aca="false">-Inputs!$B$167*MAX(0,MIN(1,2032+1-Inputs!$B$168))*(Inputs!$B$21/MAX(0.0001,Inputs!$B$20+Inputs!$B$21+Inputs!$B$22))</f>
        <v>-1.62970047959751</v>
      </c>
      <c r="K43" s="41" t="n">
        <f aca="false">-Inputs!$B$167*MAX(0,MIN(1,2033+1-Inputs!$B$168))*(Inputs!$B$21/MAX(0.0001,Inputs!$B$20+Inputs!$B$21+Inputs!$B$22))</f>
        <v>-1.62970047959751</v>
      </c>
      <c r="L43" s="41" t="n">
        <f aca="false">-Inputs!$B$167*MAX(0,MIN(1,2034+1-Inputs!$B$168))*(Inputs!$B$21/MAX(0.0001,Inputs!$B$20+Inputs!$B$21+Inputs!$B$22))</f>
        <v>-1.62970047959751</v>
      </c>
      <c r="M43" s="41" t="n">
        <f aca="false">-Inputs!$B$167*MAX(0,MIN(1,2035+1-Inputs!$B$168))*(Inputs!$B$21/MAX(0.0001,Inputs!$B$20+Inputs!$B$21+Inputs!$B$22))</f>
        <v>-1.62970047959751</v>
      </c>
      <c r="N43" s="41" t="n">
        <f aca="false">-Inputs!$B$167*MAX(0,MIN(1,2036+1-Inputs!$B$168))*(Inputs!$B$21/MAX(0.0001,Inputs!$B$20+Inputs!$B$21+Inputs!$B$22))</f>
        <v>-1.62970047959751</v>
      </c>
      <c r="O43" s="41" t="n">
        <f aca="false">-Inputs!$B$167*MAX(0,MIN(1,2037+1-Inputs!$B$168))*(Inputs!$B$21/MAX(0.0001,Inputs!$B$20+Inputs!$B$21+Inputs!$B$22))</f>
        <v>-1.62970047959751</v>
      </c>
      <c r="P43" s="41" t="n">
        <f aca="false">-Inputs!$B$167*MAX(0,MIN(1,2038+1-Inputs!$B$168))*(Inputs!$B$21/MAX(0.0001,Inputs!$B$20+Inputs!$B$21+Inputs!$B$22))</f>
        <v>-1.62970047959751</v>
      </c>
      <c r="Q43" s="41" t="n">
        <f aca="false">-Inputs!$B$167*MAX(0,MIN(1,2039+1-Inputs!$B$168))*(Inputs!$B$21/MAX(0.0001,Inputs!$B$20+Inputs!$B$21+Inputs!$B$22))</f>
        <v>-1.62970047959751</v>
      </c>
      <c r="R43" s="41" t="n">
        <f aca="false">-Inputs!$B$167*MAX(0,MIN(1,2040+1-Inputs!$B$168))*(Inputs!$B$21/MAX(0.0001,Inputs!$B$20+Inputs!$B$21+Inputs!$B$22))</f>
        <v>-1.62970047959751</v>
      </c>
      <c r="S43" s="41" t="n">
        <f aca="false">-Inputs!$B$167*MAX(0,MIN(1,2041+1-Inputs!$B$168))*(Inputs!$B$21/MAX(0.0001,Inputs!$B$20+Inputs!$B$21+Inputs!$B$22))</f>
        <v>-1.62970047959751</v>
      </c>
      <c r="T43" s="41" t="n">
        <f aca="false">-Inputs!$B$167*MAX(0,MIN(1,2042+1-Inputs!$B$168))*(Inputs!$B$21/MAX(0.0001,Inputs!$B$20+Inputs!$B$21+Inputs!$B$22))</f>
        <v>-1.62970047959751</v>
      </c>
      <c r="U43" s="41" t="n">
        <f aca="false">-Inputs!$B$167*MAX(0,MIN(1,2043+1-Inputs!$B$168))*(Inputs!$B$21/MAX(0.0001,Inputs!$B$20+Inputs!$B$21+Inputs!$B$22))</f>
        <v>-1.62970047959751</v>
      </c>
      <c r="V43" s="41" t="n">
        <f aca="false">-Inputs!$B$167*MAX(0,MIN(1,2044+1-Inputs!$B$168))*(Inputs!$B$21/MAX(0.0001,Inputs!$B$20+Inputs!$B$21+Inputs!$B$22))</f>
        <v>-1.62970047959751</v>
      </c>
      <c r="W43" s="41" t="n">
        <f aca="false">-Inputs!$B$167*MAX(0,MIN(1,2045+1-Inputs!$B$168))*(Inputs!$B$21/MAX(0.0001,Inputs!$B$20+Inputs!$B$21+Inputs!$B$22))</f>
        <v>-1.62970047959751</v>
      </c>
      <c r="X43" s="41" t="n">
        <f aca="false">-Inputs!$B$167*MAX(0,MIN(1,2046+1-Inputs!$B$168))*(Inputs!$B$21/MAX(0.0001,Inputs!$B$20+Inputs!$B$21+Inputs!$B$22))</f>
        <v>-1.62970047959751</v>
      </c>
      <c r="Y43" s="41" t="n">
        <f aca="false">-Inputs!$B$167*MAX(0,MIN(1,2047+1-Inputs!$B$168))*(Inputs!$B$21/MAX(0.0001,Inputs!$B$20+Inputs!$B$21+Inputs!$B$22))</f>
        <v>-1.62970047959751</v>
      </c>
      <c r="Z43" s="41" t="n">
        <f aca="false">-Inputs!$B$167*MAX(0,MIN(1,2048+1-Inputs!$B$168))*(Inputs!$B$21/MAX(0.0001,Inputs!$B$20+Inputs!$B$21+Inputs!$B$22))</f>
        <v>-1.62970047959751</v>
      </c>
      <c r="AA43" s="41" t="n">
        <f aca="false">-Inputs!$B$167*MAX(0,MIN(1,2049+1-Inputs!$B$168))*(Inputs!$B$21/MAX(0.0001,Inputs!$B$20+Inputs!$B$21+Inputs!$B$22))</f>
        <v>-1.62970047959751</v>
      </c>
      <c r="AB43" s="41" t="n">
        <f aca="false">-Inputs!$B$167*MAX(0,MIN(1,2050+1-Inputs!$B$168))*(Inputs!$B$21/MAX(0.0001,Inputs!$B$20+Inputs!$B$21+Inputs!$B$22))</f>
        <v>-1.62970047959751</v>
      </c>
      <c r="AC43" s="41" t="n">
        <f aca="false">-Inputs!$B$167*MAX(0,MIN(1,2051+1-Inputs!$B$168))*(Inputs!$B$21/MAX(0.0001,Inputs!$B$20+Inputs!$B$21+Inputs!$B$22))</f>
        <v>-1.62970047959751</v>
      </c>
      <c r="AD43" s="41" t="n">
        <f aca="false">-Inputs!$B$167*MAX(0,MIN(1,2052+1-Inputs!$B$168))*(Inputs!$B$21/MAX(0.0001,Inputs!$B$20+Inputs!$B$21+Inputs!$B$22))</f>
        <v>-1.62970047959751</v>
      </c>
      <c r="AE43" s="41" t="n">
        <f aca="false">-Inputs!$B$167*MAX(0,MIN(1,2053+1-Inputs!$B$168))*(Inputs!$B$21/MAX(0.0001,Inputs!$B$20+Inputs!$B$21+Inputs!$B$22))</f>
        <v>-1.62970047959751</v>
      </c>
      <c r="AF43" s="41" t="n">
        <f aca="false">-Inputs!$B$167*MAX(0,MIN(1,2054+1-Inputs!$B$168))*(Inputs!$B$21/MAX(0.0001,Inputs!$B$20+Inputs!$B$21+Inputs!$B$22))</f>
        <v>-1.62970047959751</v>
      </c>
      <c r="AG43" s="41" t="n">
        <f aca="false">-Inputs!$B$167*MAX(0,MIN(1,2055+1-Inputs!$B$168))*(Inputs!$B$21/MAX(0.0001,Inputs!$B$20+Inputs!$B$21+Inputs!$B$22))</f>
        <v>-1.62970047959751</v>
      </c>
      <c r="AH43" s="41" t="n">
        <f aca="false">-Inputs!$B$167*MAX(0,MIN(1,2056+1-Inputs!$B$168))*(Inputs!$B$21/MAX(0.0001,Inputs!$B$20+Inputs!$B$21+Inputs!$B$22))</f>
        <v>-1.62970047959751</v>
      </c>
      <c r="AI43" s="41" t="n">
        <f aca="false">-Inputs!$B$167*MAX(0,MIN(1,2057+1-Inputs!$B$168))*(Inputs!$B$21/MAX(0.0001,Inputs!$B$20+Inputs!$B$21+Inputs!$B$22))</f>
        <v>-1.62970047959751</v>
      </c>
      <c r="AJ43" s="41" t="n">
        <f aca="false">-Inputs!$B$167*MAX(0,MIN(1,2058+1-Inputs!$B$168))*(Inputs!$B$21/MAX(0.0001,Inputs!$B$20+Inputs!$B$21+Inputs!$B$22))</f>
        <v>-1.62970047959751</v>
      </c>
      <c r="AK43" s="41" t="n">
        <f aca="false">-Inputs!$B$167*MAX(0,MIN(1,2059+1-Inputs!$B$168))*(Inputs!$B$21/MAX(0.0001,Inputs!$B$20+Inputs!$B$21+Inputs!$B$22))</f>
        <v>-1.62970047959751</v>
      </c>
      <c r="AL43" s="41" t="n">
        <f aca="false">-Inputs!$B$167*MAX(0,MIN(1,2060+1-Inputs!$B$168))*(Inputs!$B$21/MAX(0.0001,Inputs!$B$20+Inputs!$B$21+Inputs!$B$22))</f>
        <v>-1.62970047959751</v>
      </c>
      <c r="AM43" s="41" t="n">
        <f aca="false">-Inputs!$B$167*MAX(0,MIN(1,2061+1-Inputs!$B$168))*(Inputs!$B$21/MAX(0.0001,Inputs!$B$20+Inputs!$B$21+Inputs!$B$22))</f>
        <v>-1.62970047959751</v>
      </c>
      <c r="AN43" s="41" t="n">
        <f aca="false">-Inputs!$B$167*MAX(0,MIN(1,2062+1-Inputs!$B$168))*(Inputs!$B$21/MAX(0.0001,Inputs!$B$20+Inputs!$B$21+Inputs!$B$22))</f>
        <v>-1.62970047959751</v>
      </c>
      <c r="AO43" s="41" t="n">
        <f aca="false">-Inputs!$B$167*MAX(0,MIN(1,2063+1-Inputs!$B$168))*(Inputs!$B$21/MAX(0.0001,Inputs!$B$20+Inputs!$B$21+Inputs!$B$22))</f>
        <v>-1.62970047959751</v>
      </c>
      <c r="AP43" s="41" t="n">
        <f aca="false">-Inputs!$B$167*MAX(0,MIN(1,2064+1-Inputs!$B$168))*(Inputs!$B$21/MAX(0.0001,Inputs!$B$20+Inputs!$B$21+Inputs!$B$22))</f>
        <v>-1.62970047959751</v>
      </c>
      <c r="AQ43" s="41" t="n">
        <f aca="false">-Inputs!$B$167*MAX(0,MIN(1,2065+1-Inputs!$B$168))*(Inputs!$B$21/MAX(0.0001,Inputs!$B$20+Inputs!$B$21+Inputs!$B$22))</f>
        <v>-1.62970047959751</v>
      </c>
      <c r="AR43" s="41" t="n">
        <f aca="false">-Inputs!$B$167*MAX(0,MIN(1,2066+1-Inputs!$B$168))*(Inputs!$B$21/MAX(0.0001,Inputs!$B$20+Inputs!$B$21+Inputs!$B$22))</f>
        <v>-1.62970047959751</v>
      </c>
      <c r="AS43" s="41" t="n">
        <f aca="false">-Inputs!$B$167*MAX(0,MIN(1,2067+1-Inputs!$B$168))*(Inputs!$B$21/MAX(0.0001,Inputs!$B$20+Inputs!$B$21+Inputs!$B$22))</f>
        <v>-1.62970047959751</v>
      </c>
      <c r="AT43" s="41" t="n">
        <f aca="false">-Inputs!$B$167*MAX(0,MIN(1,2068+1-Inputs!$B$168))*(Inputs!$B$21/MAX(0.0001,Inputs!$B$20+Inputs!$B$21+Inputs!$B$22))</f>
        <v>-1.62970047959751</v>
      </c>
      <c r="AU43" s="41" t="n">
        <f aca="false">-Inputs!$B$167*MAX(0,MIN(1,2069+1-Inputs!$B$168))*(Inputs!$B$21/MAX(0.0001,Inputs!$B$20+Inputs!$B$21+Inputs!$B$22))</f>
        <v>-1.62970047959751</v>
      </c>
      <c r="AV43" s="41" t="n">
        <f aca="false">-Inputs!$B$167*MAX(0,MIN(1,2070+1-Inputs!$B$168))*(Inputs!$B$21/MAX(0.0001,Inputs!$B$20+Inputs!$B$21+Inputs!$B$22))</f>
        <v>-1.62970047959751</v>
      </c>
      <c r="AW43" s="41" t="n">
        <f aca="false">-Inputs!$B$167*MAX(0,MIN(1,2071+1-Inputs!$B$168))*(Inputs!$B$21/MAX(0.0001,Inputs!$B$20+Inputs!$B$21+Inputs!$B$22))</f>
        <v>-1.62970047959751</v>
      </c>
      <c r="AX43" s="41" t="n">
        <f aca="false">-Inputs!$B$167*MAX(0,MIN(1,2072+1-Inputs!$B$168))*(Inputs!$B$21/MAX(0.0001,Inputs!$B$20+Inputs!$B$21+Inputs!$B$22))</f>
        <v>-1.62970047959751</v>
      </c>
      <c r="AY43" s="41" t="n">
        <f aca="false">-Inputs!$B$167*MAX(0,MIN(1,2073+1-Inputs!$B$168))*(Inputs!$B$21/MAX(0.0001,Inputs!$B$20+Inputs!$B$21+Inputs!$B$22))</f>
        <v>-1.62970047959751</v>
      </c>
      <c r="AZ43" s="41" t="n">
        <f aca="false">-Inputs!$B$167*MAX(0,MIN(1,2074+1-Inputs!$B$168))*(Inputs!$B$21/MAX(0.0001,Inputs!$B$20+Inputs!$B$21+Inputs!$B$22))</f>
        <v>-1.62970047959751</v>
      </c>
    </row>
    <row r="44" customFormat="false" ht="15" hidden="false" customHeight="true" outlineLevel="0" collapsed="false">
      <c r="A44" s="13" t="s">
        <v>603</v>
      </c>
      <c r="C44" s="41" t="n">
        <f aca="false">SUM(D44:AZ44)</f>
        <v>-683.660054947015</v>
      </c>
      <c r="D44" s="41" t="n">
        <f aca="false">-(Inputs!$B$163+Inputs!$B$164)*IF(2026&lt;2028+Inputs!$B$9,0,IF(2026=2028+Inputs!$B$9,Inputs!$B$165,1))*(1+Inputs!$B$166)^(2026-2028-Inputs!$B$9)*(Inputs!$B$21/MAX(0.0001,Inputs!$B$20+Inputs!$B$21+Inputs!$B$22))</f>
        <v>-0</v>
      </c>
      <c r="E44" s="41" t="n">
        <f aca="false">-(Inputs!$B$163+Inputs!$B$164)*IF(2027&lt;2028+Inputs!$B$9,0,IF(2027=2028+Inputs!$B$9,Inputs!$B$165,1))*(1+Inputs!$B$166)^(2027-2028-Inputs!$B$9)*(Inputs!$B$21/MAX(0.0001,Inputs!$B$20+Inputs!$B$21+Inputs!$B$22))</f>
        <v>-0</v>
      </c>
      <c r="F44" s="41" t="n">
        <f aca="false">-(Inputs!$B$163+Inputs!$B$164)*IF(2028&lt;2028+Inputs!$B$9,0,IF(2028=2028+Inputs!$B$9,Inputs!$B$165,1))*(1+Inputs!$B$166)^(2028-2028-Inputs!$B$9)*(Inputs!$B$21/MAX(0.0001,Inputs!$B$20+Inputs!$B$21+Inputs!$B$22))</f>
        <v>-3.92151336831534</v>
      </c>
      <c r="G44" s="41" t="n">
        <f aca="false">-(Inputs!$B$163+Inputs!$B$164)*IF(2029&lt;2028+Inputs!$B$9,0,IF(2029=2028+Inputs!$B$9,Inputs!$B$165,1))*(1+Inputs!$B$166)^(2029-2028-Inputs!$B$9)*(Inputs!$B$21/MAX(0.0001,Inputs!$B$20+Inputs!$B$21+Inputs!$B$22))</f>
        <v>-8.03910240504644</v>
      </c>
      <c r="H44" s="41" t="n">
        <f aca="false">-(Inputs!$B$163+Inputs!$B$164)*IF(2030&lt;2028+Inputs!$B$9,0,IF(2030=2028+Inputs!$B$9,Inputs!$B$165,1))*(1+Inputs!$B$166)^(2030-2028-Inputs!$B$9)*(Inputs!$B$21/MAX(0.0001,Inputs!$B$20+Inputs!$B$21+Inputs!$B$22))</f>
        <v>-8.2400799651726</v>
      </c>
      <c r="I44" s="41" t="n">
        <f aca="false">-(Inputs!$B$163+Inputs!$B$164)*IF(2031&lt;2028+Inputs!$B$9,0,IF(2031=2028+Inputs!$B$9,Inputs!$B$165,1))*(1+Inputs!$B$166)^(2031-2028-Inputs!$B$9)*(Inputs!$B$21/MAX(0.0001,Inputs!$B$20+Inputs!$B$21+Inputs!$B$22))</f>
        <v>-8.44608196430191</v>
      </c>
      <c r="J44" s="41" t="n">
        <f aca="false">-(Inputs!$B$163+Inputs!$B$164)*IF(2032&lt;2028+Inputs!$B$9,0,IF(2032=2028+Inputs!$B$9,Inputs!$B$165,1))*(1+Inputs!$B$166)^(2032-2028-Inputs!$B$9)*(Inputs!$B$21/MAX(0.0001,Inputs!$B$20+Inputs!$B$21+Inputs!$B$22))</f>
        <v>-8.65723401340946</v>
      </c>
      <c r="K44" s="41" t="n">
        <f aca="false">-(Inputs!$B$163+Inputs!$B$164)*IF(2033&lt;2028+Inputs!$B$9,0,IF(2033=2028+Inputs!$B$9,Inputs!$B$165,1))*(1+Inputs!$B$166)^(2033-2028-Inputs!$B$9)*(Inputs!$B$21/MAX(0.0001,Inputs!$B$20+Inputs!$B$21+Inputs!$B$22))</f>
        <v>-8.8736648637447</v>
      </c>
      <c r="L44" s="41" t="n">
        <f aca="false">-(Inputs!$B$163+Inputs!$B$164)*IF(2034&lt;2028+Inputs!$B$9,0,IF(2034=2028+Inputs!$B$9,Inputs!$B$165,1))*(1+Inputs!$B$166)^(2034-2028-Inputs!$B$9)*(Inputs!$B$21/MAX(0.0001,Inputs!$B$20+Inputs!$B$21+Inputs!$B$22))</f>
        <v>-9.09550648533831</v>
      </c>
      <c r="M44" s="41" t="n">
        <f aca="false">-(Inputs!$B$163+Inputs!$B$164)*IF(2035&lt;2028+Inputs!$B$9,0,IF(2035=2028+Inputs!$B$9,Inputs!$B$165,1))*(1+Inputs!$B$166)^(2035-2028-Inputs!$B$9)*(Inputs!$B$21/MAX(0.0001,Inputs!$B$20+Inputs!$B$21+Inputs!$B$22))</f>
        <v>-9.32289414747177</v>
      </c>
      <c r="N44" s="41" t="n">
        <f aca="false">-(Inputs!$B$163+Inputs!$B$164)*IF(2036&lt;2028+Inputs!$B$9,0,IF(2036=2028+Inputs!$B$9,Inputs!$B$165,1))*(1+Inputs!$B$166)^(2036-2028-Inputs!$B$9)*(Inputs!$B$21/MAX(0.0001,Inputs!$B$20+Inputs!$B$21+Inputs!$B$22))</f>
        <v>-9.55596650115856</v>
      </c>
      <c r="O44" s="41" t="n">
        <f aca="false">-(Inputs!$B$163+Inputs!$B$164)*IF(2037&lt;2028+Inputs!$B$9,0,IF(2037=2028+Inputs!$B$9,Inputs!$B$165,1))*(1+Inputs!$B$166)^(2037-2028-Inputs!$B$9)*(Inputs!$B$21/MAX(0.0001,Inputs!$B$20+Inputs!$B$21+Inputs!$B$22))</f>
        <v>-9.79486566368753</v>
      </c>
      <c r="P44" s="41" t="n">
        <f aca="false">-(Inputs!$B$163+Inputs!$B$164)*IF(2038&lt;2028+Inputs!$B$9,0,IF(2038=2028+Inputs!$B$9,Inputs!$B$165,1))*(1+Inputs!$B$166)^(2038-2028-Inputs!$B$9)*(Inputs!$B$21/MAX(0.0001,Inputs!$B$20+Inputs!$B$21+Inputs!$B$22))</f>
        <v>-10.0397373052797</v>
      </c>
      <c r="Q44" s="41" t="n">
        <f aca="false">-(Inputs!$B$163+Inputs!$B$164)*IF(2039&lt;2028+Inputs!$B$9,0,IF(2039=2028+Inputs!$B$9,Inputs!$B$165,1))*(1+Inputs!$B$166)^(2039-2028-Inputs!$B$9)*(Inputs!$B$21/MAX(0.0001,Inputs!$B$20+Inputs!$B$21+Inputs!$B$22))</f>
        <v>-10.2907307379117</v>
      </c>
      <c r="R44" s="41" t="n">
        <f aca="false">-(Inputs!$B$163+Inputs!$B$164)*IF(2040&lt;2028+Inputs!$B$9,0,IF(2040=2028+Inputs!$B$9,Inputs!$B$165,1))*(1+Inputs!$B$166)^(2040-2028-Inputs!$B$9)*(Inputs!$B$21/MAX(0.0001,Inputs!$B$20+Inputs!$B$21+Inputs!$B$22))</f>
        <v>-10.5479990063595</v>
      </c>
      <c r="S44" s="41" t="n">
        <f aca="false">-(Inputs!$B$163+Inputs!$B$164)*IF(2041&lt;2028+Inputs!$B$9,0,IF(2041=2028+Inputs!$B$9,Inputs!$B$165,1))*(1+Inputs!$B$166)^(2041-2028-Inputs!$B$9)*(Inputs!$B$21/MAX(0.0001,Inputs!$B$20+Inputs!$B$21+Inputs!$B$22))</f>
        <v>-10.8116989815185</v>
      </c>
      <c r="T44" s="41" t="n">
        <f aca="false">-(Inputs!$B$163+Inputs!$B$164)*IF(2042&lt;2028+Inputs!$B$9,0,IF(2042=2028+Inputs!$B$9,Inputs!$B$165,1))*(1+Inputs!$B$166)^(2042-2028-Inputs!$B$9)*(Inputs!$B$21/MAX(0.0001,Inputs!$B$20+Inputs!$B$21+Inputs!$B$22))</f>
        <v>-11.0819914560564</v>
      </c>
      <c r="U44" s="41" t="n">
        <f aca="false">-(Inputs!$B$163+Inputs!$B$164)*IF(2043&lt;2028+Inputs!$B$9,0,IF(2043=2028+Inputs!$B$9,Inputs!$B$165,1))*(1+Inputs!$B$166)^(2043-2028-Inputs!$B$9)*(Inputs!$B$21/MAX(0.0001,Inputs!$B$20+Inputs!$B$21+Inputs!$B$22))</f>
        <v>-11.3590412424579</v>
      </c>
      <c r="V44" s="41" t="n">
        <f aca="false">-(Inputs!$B$163+Inputs!$B$164)*IF(2044&lt;2028+Inputs!$B$9,0,IF(2044=2028+Inputs!$B$9,Inputs!$B$165,1))*(1+Inputs!$B$166)^(2044-2028-Inputs!$B$9)*(Inputs!$B$21/MAX(0.0001,Inputs!$B$20+Inputs!$B$21+Inputs!$B$22))</f>
        <v>-11.6430172735193</v>
      </c>
      <c r="W44" s="41" t="n">
        <f aca="false">-(Inputs!$B$163+Inputs!$B$164)*IF(2045&lt;2028+Inputs!$B$9,0,IF(2045=2028+Inputs!$B$9,Inputs!$B$165,1))*(1+Inputs!$B$166)^(2045-2028-Inputs!$B$9)*(Inputs!$B$21/MAX(0.0001,Inputs!$B$20+Inputs!$B$21+Inputs!$B$22))</f>
        <v>-11.9340927053573</v>
      </c>
      <c r="X44" s="41" t="n">
        <f aca="false">-(Inputs!$B$163+Inputs!$B$164)*IF(2046&lt;2028+Inputs!$B$9,0,IF(2046=2028+Inputs!$B$9,Inputs!$B$165,1))*(1+Inputs!$B$166)^(2046-2028-Inputs!$B$9)*(Inputs!$B$21/MAX(0.0001,Inputs!$B$20+Inputs!$B$21+Inputs!$B$22))</f>
        <v>-12.2324450229912</v>
      </c>
      <c r="Y44" s="41" t="n">
        <f aca="false">-(Inputs!$B$163+Inputs!$B$164)*IF(2047&lt;2028+Inputs!$B$9,0,IF(2047=2028+Inputs!$B$9,Inputs!$B$165,1))*(1+Inputs!$B$166)^(2047-2028-Inputs!$B$9)*(Inputs!$B$21/MAX(0.0001,Inputs!$B$20+Inputs!$B$21+Inputs!$B$22))</f>
        <v>-12.538256148566</v>
      </c>
      <c r="Z44" s="41" t="n">
        <f aca="false">-(Inputs!$B$163+Inputs!$B$164)*IF(2048&lt;2028+Inputs!$B$9,0,IF(2048=2028+Inputs!$B$9,Inputs!$B$165,1))*(1+Inputs!$B$166)^(2048-2028-Inputs!$B$9)*(Inputs!$B$21/MAX(0.0001,Inputs!$B$20+Inputs!$B$21+Inputs!$B$22))</f>
        <v>-12.8517125522801</v>
      </c>
      <c r="AA44" s="41" t="n">
        <f aca="false">-(Inputs!$B$163+Inputs!$B$164)*IF(2049&lt;2028+Inputs!$B$9,0,IF(2049=2028+Inputs!$B$9,Inputs!$B$165,1))*(1+Inputs!$B$166)^(2049-2028-Inputs!$B$9)*(Inputs!$B$21/MAX(0.0001,Inputs!$B$20+Inputs!$B$21+Inputs!$B$22))</f>
        <v>-13.1730053660871</v>
      </c>
      <c r="AB44" s="41" t="n">
        <f aca="false">-(Inputs!$B$163+Inputs!$B$164)*IF(2050&lt;2028+Inputs!$B$9,0,IF(2050=2028+Inputs!$B$9,Inputs!$B$165,1))*(1+Inputs!$B$166)^(2050-2028-Inputs!$B$9)*(Inputs!$B$21/MAX(0.0001,Inputs!$B$20+Inputs!$B$21+Inputs!$B$22))</f>
        <v>-13.5023305002393</v>
      </c>
      <c r="AC44" s="41" t="n">
        <f aca="false">-(Inputs!$B$163+Inputs!$B$164)*IF(2051&lt;2028+Inputs!$B$9,0,IF(2051=2028+Inputs!$B$9,Inputs!$B$165,1))*(1+Inputs!$B$166)^(2051-2028-Inputs!$B$9)*(Inputs!$B$21/MAX(0.0001,Inputs!$B$20+Inputs!$B$21+Inputs!$B$22))</f>
        <v>-13.8398887627453</v>
      </c>
      <c r="AD44" s="41" t="n">
        <f aca="false">-(Inputs!$B$163+Inputs!$B$164)*IF(2052&lt;2028+Inputs!$B$9,0,IF(2052=2028+Inputs!$B$9,Inputs!$B$165,1))*(1+Inputs!$B$166)^(2052-2028-Inputs!$B$9)*(Inputs!$B$21/MAX(0.0001,Inputs!$B$20+Inputs!$B$21+Inputs!$B$22))</f>
        <v>-14.1858859818139</v>
      </c>
      <c r="AE44" s="41" t="n">
        <f aca="false">-(Inputs!$B$163+Inputs!$B$164)*IF(2053&lt;2028+Inputs!$B$9,0,IF(2053=2028+Inputs!$B$9,Inputs!$B$165,1))*(1+Inputs!$B$166)^(2053-2028-Inputs!$B$9)*(Inputs!$B$21/MAX(0.0001,Inputs!$B$20+Inputs!$B$21+Inputs!$B$22))</f>
        <v>-14.5405331313593</v>
      </c>
      <c r="AF44" s="41" t="n">
        <f aca="false">-(Inputs!$B$163+Inputs!$B$164)*IF(2054&lt;2028+Inputs!$B$9,0,IF(2054=2028+Inputs!$B$9,Inputs!$B$165,1))*(1+Inputs!$B$166)^(2054-2028-Inputs!$B$9)*(Inputs!$B$21/MAX(0.0001,Inputs!$B$20+Inputs!$B$21+Inputs!$B$22))</f>
        <v>-14.9040464596433</v>
      </c>
      <c r="AG44" s="41" t="n">
        <f aca="false">-(Inputs!$B$163+Inputs!$B$164)*IF(2055&lt;2028+Inputs!$B$9,0,IF(2055=2028+Inputs!$B$9,Inputs!$B$165,1))*(1+Inputs!$B$166)^(2055-2028-Inputs!$B$9)*(Inputs!$B$21/MAX(0.0001,Inputs!$B$20+Inputs!$B$21+Inputs!$B$22))</f>
        <v>-15.2766476211343</v>
      </c>
      <c r="AH44" s="41" t="n">
        <f aca="false">-(Inputs!$B$163+Inputs!$B$164)*IF(2056&lt;2028+Inputs!$B$9,0,IF(2056=2028+Inputs!$B$9,Inputs!$B$165,1))*(1+Inputs!$B$166)^(2056-2028-Inputs!$B$9)*(Inputs!$B$21/MAX(0.0001,Inputs!$B$20+Inputs!$B$21+Inputs!$B$22))</f>
        <v>-15.6585638116627</v>
      </c>
      <c r="AI44" s="41" t="n">
        <f aca="false">-(Inputs!$B$163+Inputs!$B$164)*IF(2057&lt;2028+Inputs!$B$9,0,IF(2057=2028+Inputs!$B$9,Inputs!$B$165,1))*(1+Inputs!$B$166)^(2057-2028-Inputs!$B$9)*(Inputs!$B$21/MAX(0.0001,Inputs!$B$20+Inputs!$B$21+Inputs!$B$22))</f>
        <v>-16.0500279069543</v>
      </c>
      <c r="AJ44" s="41" t="n">
        <f aca="false">-(Inputs!$B$163+Inputs!$B$164)*IF(2058&lt;2028+Inputs!$B$9,0,IF(2058=2028+Inputs!$B$9,Inputs!$B$165,1))*(1+Inputs!$B$166)^(2058-2028-Inputs!$B$9)*(Inputs!$B$21/MAX(0.0001,Inputs!$B$20+Inputs!$B$21+Inputs!$B$22))</f>
        <v>-16.4512786046281</v>
      </c>
      <c r="AK44" s="41" t="n">
        <f aca="false">-(Inputs!$B$163+Inputs!$B$164)*IF(2059&lt;2028+Inputs!$B$9,0,IF(2059=2028+Inputs!$B$9,Inputs!$B$165,1))*(1+Inputs!$B$166)^(2059-2028-Inputs!$B$9)*(Inputs!$B$21/MAX(0.0001,Inputs!$B$20+Inputs!$B$21+Inputs!$B$22))</f>
        <v>-16.8625605697438</v>
      </c>
      <c r="AL44" s="41" t="n">
        <f aca="false">-(Inputs!$B$163+Inputs!$B$164)*IF(2060&lt;2028+Inputs!$B$9,0,IF(2060=2028+Inputs!$B$9,Inputs!$B$165,1))*(1+Inputs!$B$166)^(2060-2028-Inputs!$B$9)*(Inputs!$B$21/MAX(0.0001,Inputs!$B$20+Inputs!$B$21+Inputs!$B$22))</f>
        <v>-17.2841245839874</v>
      </c>
      <c r="AM44" s="41" t="n">
        <f aca="false">-(Inputs!$B$163+Inputs!$B$164)*IF(2061&lt;2028+Inputs!$B$9,0,IF(2061=2028+Inputs!$B$9,Inputs!$B$165,1))*(1+Inputs!$B$166)^(2061-2028-Inputs!$B$9)*(Inputs!$B$21/MAX(0.0001,Inputs!$B$20+Inputs!$B$21+Inputs!$B$22))</f>
        <v>-17.7162276985871</v>
      </c>
      <c r="AN44" s="41" t="n">
        <f aca="false">-(Inputs!$B$163+Inputs!$B$164)*IF(2062&lt;2028+Inputs!$B$9,0,IF(2062=2028+Inputs!$B$9,Inputs!$B$165,1))*(1+Inputs!$B$166)^(2062-2028-Inputs!$B$9)*(Inputs!$B$21/MAX(0.0001,Inputs!$B$20+Inputs!$B$21+Inputs!$B$22))</f>
        <v>-18.1591333910518</v>
      </c>
      <c r="AO44" s="41" t="n">
        <f aca="false">-(Inputs!$B$163+Inputs!$B$164)*IF(2063&lt;2028+Inputs!$B$9,0,IF(2063=2028+Inputs!$B$9,Inputs!$B$165,1))*(1+Inputs!$B$166)^(2063-2028-Inputs!$B$9)*(Inputs!$B$21/MAX(0.0001,Inputs!$B$20+Inputs!$B$21+Inputs!$B$22))</f>
        <v>-18.6131117258281</v>
      </c>
      <c r="AP44" s="41" t="n">
        <f aca="false">-(Inputs!$B$163+Inputs!$B$164)*IF(2064&lt;2028+Inputs!$B$9,0,IF(2064=2028+Inputs!$B$9,Inputs!$B$165,1))*(1+Inputs!$B$166)^(2064-2028-Inputs!$B$9)*(Inputs!$B$21/MAX(0.0001,Inputs!$B$20+Inputs!$B$21+Inputs!$B$22))</f>
        <v>-19.0784395189738</v>
      </c>
      <c r="AQ44" s="41" t="n">
        <f aca="false">-(Inputs!$B$163+Inputs!$B$164)*IF(2065&lt;2028+Inputs!$B$9,0,IF(2065=2028+Inputs!$B$9,Inputs!$B$165,1))*(1+Inputs!$B$166)^(2065-2028-Inputs!$B$9)*(Inputs!$B$21/MAX(0.0001,Inputs!$B$20+Inputs!$B$21+Inputs!$B$22))</f>
        <v>-19.5554005069481</v>
      </c>
      <c r="AR44" s="41" t="n">
        <f aca="false">-(Inputs!$B$163+Inputs!$B$164)*IF(2066&lt;2028+Inputs!$B$9,0,IF(2066=2028+Inputs!$B$9,Inputs!$B$165,1))*(1+Inputs!$B$166)^(2066-2028-Inputs!$B$9)*(Inputs!$B$21/MAX(0.0001,Inputs!$B$20+Inputs!$B$21+Inputs!$B$22))</f>
        <v>-20.0442855196218</v>
      </c>
      <c r="AS44" s="41" t="n">
        <f aca="false">-(Inputs!$B$163+Inputs!$B$164)*IF(2067&lt;2028+Inputs!$B$9,0,IF(2067=2028+Inputs!$B$9,Inputs!$B$165,1))*(1+Inputs!$B$166)^(2067-2028-Inputs!$B$9)*(Inputs!$B$21/MAX(0.0001,Inputs!$B$20+Inputs!$B$21+Inputs!$B$22))</f>
        <v>-20.5453926576124</v>
      </c>
      <c r="AT44" s="41" t="n">
        <f aca="false">-(Inputs!$B$163+Inputs!$B$164)*IF(2068&lt;2028+Inputs!$B$9,0,IF(2068=2028+Inputs!$B$9,Inputs!$B$165,1))*(1+Inputs!$B$166)^(2068-2028-Inputs!$B$9)*(Inputs!$B$21/MAX(0.0001,Inputs!$B$20+Inputs!$B$21+Inputs!$B$22))</f>
        <v>-21.0590274740527</v>
      </c>
      <c r="AU44" s="41" t="n">
        <f aca="false">-(Inputs!$B$163+Inputs!$B$164)*IF(2069&lt;2028+Inputs!$B$9,0,IF(2069=2028+Inputs!$B$9,Inputs!$B$165,1))*(1+Inputs!$B$166)^(2069-2028-Inputs!$B$9)*(Inputs!$B$21/MAX(0.0001,Inputs!$B$20+Inputs!$B$21+Inputs!$B$22))</f>
        <v>-21.585503160904</v>
      </c>
      <c r="AV44" s="41" t="n">
        <f aca="false">-(Inputs!$B$163+Inputs!$B$164)*IF(2070&lt;2028+Inputs!$B$9,0,IF(2070=2028+Inputs!$B$9,Inputs!$B$165,1))*(1+Inputs!$B$166)^(2070-2028-Inputs!$B$9)*(Inputs!$B$21/MAX(0.0001,Inputs!$B$20+Inputs!$B$21+Inputs!$B$22))</f>
        <v>-22.1251407399266</v>
      </c>
      <c r="AW44" s="41" t="n">
        <f aca="false">-(Inputs!$B$163+Inputs!$B$164)*IF(2071&lt;2028+Inputs!$B$9,0,IF(2071=2028+Inputs!$B$9,Inputs!$B$165,1))*(1+Inputs!$B$166)^(2071-2028-Inputs!$B$9)*(Inputs!$B$21/MAX(0.0001,Inputs!$B$20+Inputs!$B$21+Inputs!$B$22))</f>
        <v>-22.6782692584247</v>
      </c>
      <c r="AX44" s="41" t="n">
        <f aca="false">-(Inputs!$B$163+Inputs!$B$164)*IF(2072&lt;2028+Inputs!$B$9,0,IF(2072=2028+Inputs!$B$9,Inputs!$B$165,1))*(1+Inputs!$B$166)^(2072-2028-Inputs!$B$9)*(Inputs!$B$21/MAX(0.0001,Inputs!$B$20+Inputs!$B$21+Inputs!$B$22))</f>
        <v>-23.2452259898854</v>
      </c>
      <c r="AY44" s="41" t="n">
        <f aca="false">-(Inputs!$B$163+Inputs!$B$164)*IF(2073&lt;2028+Inputs!$B$9,0,IF(2073=2028+Inputs!$B$9,Inputs!$B$165,1))*(1+Inputs!$B$166)^(2073-2028-Inputs!$B$9)*(Inputs!$B$21/MAX(0.0001,Inputs!$B$20+Inputs!$B$21+Inputs!$B$22))</f>
        <v>-23.8263566396325</v>
      </c>
      <c r="AZ44" s="41" t="n">
        <f aca="false">-(Inputs!$B$163+Inputs!$B$164)*IF(2074&lt;2028+Inputs!$B$9,0,IF(2074=2028+Inputs!$B$9,Inputs!$B$165,1))*(1+Inputs!$B$166)^(2074-2028-Inputs!$B$9)*(Inputs!$B$21/MAX(0.0001,Inputs!$B$20+Inputs!$B$21+Inputs!$B$22))</f>
        <v>-24.4220155556233</v>
      </c>
    </row>
    <row r="45" customFormat="false" ht="15" hidden="false" customHeight="true" outlineLevel="0" collapsed="false">
      <c r="A45" s="6" t="s">
        <v>604</v>
      </c>
      <c r="C45" s="44" t="n">
        <f aca="false">SUM(D45:AZ45)</f>
        <v>3884.5513792393</v>
      </c>
      <c r="D45" s="44" t="n">
        <f aca="false">D38+SUM(D41:D44)</f>
        <v>0</v>
      </c>
      <c r="E45" s="44" t="n">
        <f aca="false">E38+SUM(E41:E44)</f>
        <v>0</v>
      </c>
      <c r="F45" s="44" t="n">
        <f aca="false">F38+SUM(F41:F44)</f>
        <v>1.58557127198653</v>
      </c>
      <c r="G45" s="44" t="n">
        <f aca="false">G38+SUM(G41:G44)</f>
        <v>23.0488171153561</v>
      </c>
      <c r="H45" s="44" t="n">
        <f aca="false">H38+SUM(H41:H44)</f>
        <v>25.2376495552299</v>
      </c>
      <c r="I45" s="44" t="n">
        <f aca="false">I38+SUM(I41:I44)</f>
        <v>26.7549363061006</v>
      </c>
      <c r="J45" s="44" t="n">
        <f aca="false">J38+SUM(J41:J44)</f>
        <v>30.160939725743</v>
      </c>
      <c r="K45" s="44" t="n">
        <f aca="false">K38+SUM(K41:K44)</f>
        <v>33.7869382308765</v>
      </c>
      <c r="L45" s="44" t="n">
        <f aca="false">L38+SUM(L41:L44)</f>
        <v>37.9992861986384</v>
      </c>
      <c r="M45" s="44" t="n">
        <f aca="false">M38+SUM(M41:M44)</f>
        <v>42.6457538655943</v>
      </c>
      <c r="N45" s="44" t="n">
        <f aca="false">N38+SUM(N41:N44)</f>
        <v>46.4767272242241</v>
      </c>
      <c r="O45" s="44" t="n">
        <f aca="false">O38+SUM(O41:O44)</f>
        <v>50.2312079168196</v>
      </c>
      <c r="P45" s="44" t="n">
        <f aca="false">P38+SUM(P41:P44)</f>
        <v>53.9379331267301</v>
      </c>
      <c r="Q45" s="44" t="n">
        <f aca="false">Q38+SUM(Q41:Q44)</f>
        <v>57.9767954668883</v>
      </c>
      <c r="R45" s="44" t="n">
        <f aca="false">R38+SUM(R41:R44)</f>
        <v>62.3037228655504</v>
      </c>
      <c r="S45" s="44" t="n">
        <f aca="false">S38+SUM(S41:S44)</f>
        <v>63.9020584491791</v>
      </c>
      <c r="T45" s="44" t="n">
        <f aca="false">T38+SUM(T41:T44)</f>
        <v>65.5403524223985</v>
      </c>
      <c r="U45" s="44" t="n">
        <f aca="false">U38+SUM(U41:U44)</f>
        <v>67.2196037449484</v>
      </c>
      <c r="V45" s="44" t="n">
        <f aca="false">V38+SUM(V41:V44)</f>
        <v>68.940836350562</v>
      </c>
      <c r="W45" s="44" t="n">
        <f aca="false">W38+SUM(W41:W44)</f>
        <v>70.705099771316</v>
      </c>
      <c r="X45" s="44" t="n">
        <f aca="false">X38+SUM(X41:X44)</f>
        <v>72.5134697775889</v>
      </c>
      <c r="Y45" s="44" t="n">
        <f aca="false">Y38+SUM(Y41:Y44)</f>
        <v>74.3670490340185</v>
      </c>
      <c r="Z45" s="44" t="n">
        <f aca="false">Z38+SUM(Z41:Z44)</f>
        <v>76.2669677718589</v>
      </c>
      <c r="AA45" s="44" t="n">
        <f aca="false">AA38+SUM(AA41:AA44)</f>
        <v>78.2143844781453</v>
      </c>
      <c r="AB45" s="44" t="n">
        <f aca="false">AB38+SUM(AB41:AB44)</f>
        <v>80.2104866020889</v>
      </c>
      <c r="AC45" s="44" t="n">
        <f aca="false">AC38+SUM(AC41:AC44)</f>
        <v>82.256491279131</v>
      </c>
      <c r="AD45" s="44" t="n">
        <f aca="false">AD38+SUM(AD41:AD44)</f>
        <v>84.3536460730992</v>
      </c>
      <c r="AE45" s="44" t="n">
        <f aca="false">AE38+SUM(AE41:AE44)</f>
        <v>86.5032297369166</v>
      </c>
      <c r="AF45" s="44" t="n">
        <f aca="false">AF38+SUM(AF41:AF44)</f>
        <v>88.7065529923295</v>
      </c>
      <c r="AG45" s="44" t="n">
        <f aca="false">AG38+SUM(AG41:AG44)</f>
        <v>90.9649593291276</v>
      </c>
      <c r="AH45" s="44" t="n">
        <f aca="false">AH38+SUM(AH41:AH44)</f>
        <v>93.2798258243458</v>
      </c>
      <c r="AI45" s="44" t="n">
        <f aca="false">AI38+SUM(AI41:AI44)</f>
        <v>95.6525639819443</v>
      </c>
      <c r="AJ45" s="44" t="n">
        <f aca="false">AJ38+SUM(AJ41:AJ44)</f>
        <v>98.0846205934829</v>
      </c>
      <c r="AK45" s="44" t="n">
        <f aca="false">AK38+SUM(AK41:AK44)</f>
        <v>100.57747862031</v>
      </c>
      <c r="AL45" s="44" t="n">
        <f aca="false">AL38+SUM(AL41:AL44)</f>
        <v>103.132658097808</v>
      </c>
      <c r="AM45" s="44" t="n">
        <f aca="false">AM38+SUM(AM41:AM44)</f>
        <v>105.751717062243</v>
      </c>
      <c r="AN45" s="44" t="n">
        <f aca="false">AN38+SUM(AN41:AN44)</f>
        <v>108.436252500789</v>
      </c>
      <c r="AO45" s="44" t="n">
        <f aca="false">AO38+SUM(AO41:AO44)</f>
        <v>111.187901325298</v>
      </c>
      <c r="AP45" s="44" t="n">
        <f aca="false">AP38+SUM(AP41:AP44)</f>
        <v>114.008341370421</v>
      </c>
      <c r="AQ45" s="44" t="n">
        <f aca="false">AQ38+SUM(AQ41:AQ44)</f>
        <v>116.899292416671</v>
      </c>
      <c r="AR45" s="44" t="n">
        <f aca="false">AR38+SUM(AR41:AR44)</f>
        <v>119.862517239078</v>
      </c>
      <c r="AS45" s="44" t="n">
        <f aca="false">AS38+SUM(AS41:AS44)</f>
        <v>122.899822682045</v>
      </c>
      <c r="AT45" s="44" t="n">
        <f aca="false">AT38+SUM(AT41:AT44)</f>
        <v>126.013060761086</v>
      </c>
      <c r="AU45" s="44" t="n">
        <f aca="false">AU38+SUM(AU41:AU44)</f>
        <v>129.204129792103</v>
      </c>
      <c r="AV45" s="44" t="n">
        <f aca="false">AV38+SUM(AV41:AV44)</f>
        <v>132.474975548895</v>
      </c>
      <c r="AW45" s="44" t="n">
        <f aca="false">AW38+SUM(AW41:AW44)</f>
        <v>135.827592449608</v>
      </c>
      <c r="AX45" s="44" t="n">
        <f aca="false">AX38+SUM(AX41:AX44)</f>
        <v>139.264024772838</v>
      </c>
      <c r="AY45" s="44" t="n">
        <f aca="false">AY38+SUM(AY41:AY44)</f>
        <v>142.786367904149</v>
      </c>
      <c r="AZ45" s="44" t="n">
        <f aca="false">AZ38+SUM(AZ41:AZ44)</f>
        <v>146.396769613742</v>
      </c>
    </row>
    <row r="47" customFormat="false" ht="15" hidden="false" customHeight="true" outlineLevel="0" collapsed="false">
      <c r="A47" s="11" t="s">
        <v>605</v>
      </c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</row>
    <row r="48" customFormat="false" ht="15" hidden="false" customHeight="true" outlineLevel="0" collapsed="false">
      <c r="A48" s="6" t="s">
        <v>606</v>
      </c>
      <c r="C48" s="21" t="n">
        <f aca="false">SUM(D48:AZ48)</f>
        <v>3749.97356536921</v>
      </c>
      <c r="D48" s="21" t="n">
        <f aca="false">D45-D22</f>
        <v>-6.86497809739291</v>
      </c>
      <c r="E48" s="21" t="n">
        <f aca="false">E45-E22</f>
        <v>-56.631564849179</v>
      </c>
      <c r="F48" s="21" t="n">
        <f aca="false">F45-F22</f>
        <v>-69.495699651528</v>
      </c>
      <c r="G48" s="21" t="n">
        <f aca="false">G45-G22</f>
        <v>23.0488171153561</v>
      </c>
      <c r="H48" s="21" t="n">
        <f aca="false">H45-H22</f>
        <v>25.2376495552299</v>
      </c>
      <c r="I48" s="21" t="n">
        <f aca="false">I45-I22</f>
        <v>26.7549363061006</v>
      </c>
      <c r="J48" s="21" t="n">
        <f aca="false">J45-J22</f>
        <v>30.160939725743</v>
      </c>
      <c r="K48" s="21" t="n">
        <f aca="false">K45-K22</f>
        <v>33.7869382308765</v>
      </c>
      <c r="L48" s="21" t="n">
        <f aca="false">L45-L22</f>
        <v>37.9992861986384</v>
      </c>
      <c r="M48" s="21" t="n">
        <f aca="false">M45-M22</f>
        <v>42.6457538655943</v>
      </c>
      <c r="N48" s="21" t="n">
        <f aca="false">N45-N22</f>
        <v>46.4767272242241</v>
      </c>
      <c r="O48" s="21" t="n">
        <f aca="false">O45-O22</f>
        <v>50.2312079168196</v>
      </c>
      <c r="P48" s="21" t="n">
        <f aca="false">P45-P22</f>
        <v>53.9379331267301</v>
      </c>
      <c r="Q48" s="21" t="n">
        <f aca="false">Q45-Q22</f>
        <v>57.9767954668883</v>
      </c>
      <c r="R48" s="21" t="n">
        <f aca="false">R45-R22</f>
        <v>62.3037228655504</v>
      </c>
      <c r="S48" s="21" t="n">
        <f aca="false">S45-S22</f>
        <v>63.9020584491791</v>
      </c>
      <c r="T48" s="21" t="n">
        <f aca="false">T45-T22</f>
        <v>65.5403524223985</v>
      </c>
      <c r="U48" s="21" t="n">
        <f aca="false">U45-U22</f>
        <v>67.2196037449484</v>
      </c>
      <c r="V48" s="21" t="n">
        <f aca="false">V45-V22</f>
        <v>68.940836350562</v>
      </c>
      <c r="W48" s="21" t="n">
        <f aca="false">W45-W22</f>
        <v>70.705099771316</v>
      </c>
      <c r="X48" s="21" t="n">
        <f aca="false">X45-X22</f>
        <v>72.5134697775889</v>
      </c>
      <c r="Y48" s="21" t="n">
        <f aca="false">Y45-Y22</f>
        <v>74.3670490340185</v>
      </c>
      <c r="Z48" s="21" t="n">
        <f aca="false">Z45-Z22</f>
        <v>76.2669677718589</v>
      </c>
      <c r="AA48" s="21" t="n">
        <f aca="false">AA45-AA22</f>
        <v>78.2143844781453</v>
      </c>
      <c r="AB48" s="21" t="n">
        <f aca="false">AB45-AB22</f>
        <v>80.2104866020889</v>
      </c>
      <c r="AC48" s="21" t="n">
        <f aca="false">AC45-AC22</f>
        <v>82.256491279131</v>
      </c>
      <c r="AD48" s="21" t="n">
        <f aca="false">AD45-AD22</f>
        <v>84.3536460730992</v>
      </c>
      <c r="AE48" s="21" t="n">
        <f aca="false">AE45-AE22</f>
        <v>86.5032297369166</v>
      </c>
      <c r="AF48" s="21" t="n">
        <f aca="false">AF45-AF22</f>
        <v>88.7065529923295</v>
      </c>
      <c r="AG48" s="21" t="n">
        <f aca="false">AG45-AG22</f>
        <v>90.9649593291276</v>
      </c>
      <c r="AH48" s="21" t="n">
        <f aca="false">AH45-AH22</f>
        <v>93.2798258243458</v>
      </c>
      <c r="AI48" s="21" t="n">
        <f aca="false">AI45-AI22</f>
        <v>95.6525639819443</v>
      </c>
      <c r="AJ48" s="21" t="n">
        <f aca="false">AJ45-AJ22</f>
        <v>98.0846205934829</v>
      </c>
      <c r="AK48" s="21" t="n">
        <f aca="false">AK45-AK22</f>
        <v>100.57747862031</v>
      </c>
      <c r="AL48" s="21" t="n">
        <f aca="false">AL45-AL22</f>
        <v>103.132658097808</v>
      </c>
      <c r="AM48" s="21" t="n">
        <f aca="false">AM45-AM22</f>
        <v>105.751717062243</v>
      </c>
      <c r="AN48" s="21" t="n">
        <f aca="false">AN45-AN22</f>
        <v>108.436252500789</v>
      </c>
      <c r="AO48" s="21" t="n">
        <f aca="false">AO45-AO22</f>
        <v>111.187901325298</v>
      </c>
      <c r="AP48" s="21" t="n">
        <f aca="false">AP45-AP22</f>
        <v>114.008341370421</v>
      </c>
      <c r="AQ48" s="21" t="n">
        <f aca="false">AQ45-AQ22</f>
        <v>116.899292416671</v>
      </c>
      <c r="AR48" s="21" t="n">
        <f aca="false">AR45-AR22</f>
        <v>119.862517239078</v>
      </c>
      <c r="AS48" s="21" t="n">
        <f aca="false">AS45-AS22</f>
        <v>122.899822682045</v>
      </c>
      <c r="AT48" s="21" t="n">
        <f aca="false">AT45-AT22</f>
        <v>126.013060761086</v>
      </c>
      <c r="AU48" s="21" t="n">
        <f aca="false">AU45-AU22</f>
        <v>129.204129792103</v>
      </c>
      <c r="AV48" s="21" t="n">
        <f aca="false">AV45-AV22</f>
        <v>132.474975548895</v>
      </c>
      <c r="AW48" s="21" t="n">
        <f aca="false">AW45-AW22</f>
        <v>135.827592449608</v>
      </c>
      <c r="AX48" s="21" t="n">
        <f aca="false">AX45-AX22</f>
        <v>139.264024772838</v>
      </c>
      <c r="AY48" s="21" t="n">
        <f aca="false">AY45-AY22</f>
        <v>142.786367904149</v>
      </c>
      <c r="AZ48" s="21" t="n">
        <f aca="false">AZ45-AZ22</f>
        <v>146.396769613742</v>
      </c>
    </row>
    <row r="49" customFormat="false" ht="15" hidden="false" customHeight="true" outlineLevel="0" collapsed="false">
      <c r="A49" s="13" t="s">
        <v>607</v>
      </c>
      <c r="D49" s="41" t="n">
        <f aca="false">D48</f>
        <v>-6.86497809739291</v>
      </c>
      <c r="E49" s="41" t="n">
        <f aca="false">D49+E48</f>
        <v>-63.4965429465719</v>
      </c>
      <c r="F49" s="41" t="n">
        <f aca="false">E49+F48</f>
        <v>-132.9922425981</v>
      </c>
      <c r="G49" s="41" t="n">
        <f aca="false">F49+G48</f>
        <v>-109.943425482744</v>
      </c>
      <c r="H49" s="41" t="n">
        <f aca="false">G49+H48</f>
        <v>-84.705775927514</v>
      </c>
      <c r="I49" s="41" t="n">
        <f aca="false">H49+I48</f>
        <v>-57.9508396214134</v>
      </c>
      <c r="J49" s="41" t="n">
        <f aca="false">I49+J48</f>
        <v>-27.7898998956704</v>
      </c>
      <c r="K49" s="41" t="n">
        <f aca="false">J49+K48</f>
        <v>5.99703833520613</v>
      </c>
      <c r="L49" s="41" t="n">
        <f aca="false">K49+L48</f>
        <v>43.9963245338445</v>
      </c>
      <c r="M49" s="41" t="n">
        <f aca="false">L49+M48</f>
        <v>86.6420783994388</v>
      </c>
      <c r="N49" s="41" t="n">
        <f aca="false">M49+N48</f>
        <v>133.118805623663</v>
      </c>
      <c r="O49" s="41" t="n">
        <f aca="false">N49+O48</f>
        <v>183.350013540483</v>
      </c>
      <c r="P49" s="41" t="n">
        <f aca="false">O49+P48</f>
        <v>237.287946667213</v>
      </c>
      <c r="Q49" s="41" t="n">
        <f aca="false">P49+Q48</f>
        <v>295.264742134101</v>
      </c>
      <c r="R49" s="41" t="n">
        <f aca="false">Q49+R48</f>
        <v>357.568464999651</v>
      </c>
      <c r="S49" s="41" t="n">
        <f aca="false">R49+S48</f>
        <v>421.47052344883</v>
      </c>
      <c r="T49" s="41" t="n">
        <f aca="false">S49+T48</f>
        <v>487.010875871229</v>
      </c>
      <c r="U49" s="41" t="n">
        <f aca="false">T49+U48</f>
        <v>554.230479616177</v>
      </c>
      <c r="V49" s="41" t="n">
        <f aca="false">U49+V48</f>
        <v>623.171315966739</v>
      </c>
      <c r="W49" s="41" t="n">
        <f aca="false">V49+W48</f>
        <v>693.876415738055</v>
      </c>
      <c r="X49" s="41" t="n">
        <f aca="false">W49+X48</f>
        <v>766.389885515644</v>
      </c>
      <c r="Y49" s="41" t="n">
        <f aca="false">X49+Y48</f>
        <v>840.756934549663</v>
      </c>
      <c r="Z49" s="41" t="n">
        <f aca="false">Y49+Z48</f>
        <v>917.023902321522</v>
      </c>
      <c r="AA49" s="41" t="n">
        <f aca="false">Z49+AA48</f>
        <v>995.238286799667</v>
      </c>
      <c r="AB49" s="41" t="n">
        <f aca="false">AA49+AB48</f>
        <v>1075.44877340176</v>
      </c>
      <c r="AC49" s="41" t="n">
        <f aca="false">AB49+AC48</f>
        <v>1157.70526468089</v>
      </c>
      <c r="AD49" s="41" t="n">
        <f aca="false">AC49+AD48</f>
        <v>1242.05891075399</v>
      </c>
      <c r="AE49" s="41" t="n">
        <f aca="false">AD49+AE48</f>
        <v>1328.5621404909</v>
      </c>
      <c r="AF49" s="41" t="n">
        <f aca="false">AE49+AF48</f>
        <v>1417.26869348323</v>
      </c>
      <c r="AG49" s="41" t="n">
        <f aca="false">AF49+AG48</f>
        <v>1508.23365281236</v>
      </c>
      <c r="AH49" s="41" t="n">
        <f aca="false">AG49+AH48</f>
        <v>1601.51347863671</v>
      </c>
      <c r="AI49" s="41" t="n">
        <f aca="false">AH49+AI48</f>
        <v>1697.16604261865</v>
      </c>
      <c r="AJ49" s="41" t="n">
        <f aca="false">AI49+AJ48</f>
        <v>1795.25066321213</v>
      </c>
      <c r="AK49" s="41" t="n">
        <f aca="false">AJ49+AK48</f>
        <v>1895.82814183244</v>
      </c>
      <c r="AL49" s="41" t="n">
        <f aca="false">AK49+AL48</f>
        <v>1998.96079993025</v>
      </c>
      <c r="AM49" s="41" t="n">
        <f aca="false">AL49+AM48</f>
        <v>2104.71251699249</v>
      </c>
      <c r="AN49" s="41" t="n">
        <f aca="false">AM49+AN48</f>
        <v>2213.14876949328</v>
      </c>
      <c r="AO49" s="41" t="n">
        <f aca="false">AN49+AO48</f>
        <v>2324.33667081858</v>
      </c>
      <c r="AP49" s="41" t="n">
        <f aca="false">AO49+AP48</f>
        <v>2438.345012189</v>
      </c>
      <c r="AQ49" s="41" t="n">
        <f aca="false">AP49+AQ48</f>
        <v>2555.24430460567</v>
      </c>
      <c r="AR49" s="41" t="n">
        <f aca="false">AQ49+AR48</f>
        <v>2675.10682184475</v>
      </c>
      <c r="AS49" s="41" t="n">
        <f aca="false">AR49+AS48</f>
        <v>2798.00664452679</v>
      </c>
      <c r="AT49" s="41" t="n">
        <f aca="false">AS49+AT48</f>
        <v>2924.01970528788</v>
      </c>
      <c r="AU49" s="41" t="n">
        <f aca="false">AT49+AU48</f>
        <v>3053.22383507998</v>
      </c>
      <c r="AV49" s="41" t="n">
        <f aca="false">AU49+AV48</f>
        <v>3185.69881062888</v>
      </c>
      <c r="AW49" s="41" t="n">
        <f aca="false">AV49+AW48</f>
        <v>3321.52640307849</v>
      </c>
      <c r="AX49" s="41" t="n">
        <f aca="false">AW49+AX48</f>
        <v>3460.79042785132</v>
      </c>
      <c r="AY49" s="41" t="n">
        <f aca="false">AX49+AY48</f>
        <v>3603.57679575547</v>
      </c>
      <c r="AZ49" s="41" t="n">
        <f aca="false">AY49+AZ48</f>
        <v>3749.97356536921</v>
      </c>
    </row>
    <row r="50" customFormat="false" ht="15" hidden="false" customHeight="true" outlineLevel="0" collapsed="false">
      <c r="A50" s="13" t="s">
        <v>608</v>
      </c>
      <c r="D50" s="41" t="n">
        <f aca="false">IF(2026=Inputs!$B$176,E45/Inputs!$B$177*(1-(1+Inputs!$B$177)^-(Inputs!$B$55-2026)),0)</f>
        <v>0</v>
      </c>
      <c r="E50" s="41" t="n">
        <f aca="false">IF(2027=Inputs!$B$176,F45/Inputs!$B$177*(1-(1+Inputs!$B$177)^-(Inputs!$B$55-2027)),0)</f>
        <v>0</v>
      </c>
      <c r="F50" s="41" t="n">
        <f aca="false">IF(2028=Inputs!$B$176,G45/Inputs!$B$177*(1-(1+Inputs!$B$177)^-(Inputs!$B$55-2028)),0)</f>
        <v>0</v>
      </c>
      <c r="G50" s="41" t="n">
        <f aca="false">IF(2029=Inputs!$B$176,H45/Inputs!$B$177*(1-(1+Inputs!$B$177)^-(Inputs!$B$55-2029)),0)</f>
        <v>0</v>
      </c>
      <c r="H50" s="41" t="n">
        <f aca="false">IF(2030=Inputs!$B$176,I45/Inputs!$B$177*(1-(1+Inputs!$B$177)^-(Inputs!$B$55-2030)),0)</f>
        <v>0</v>
      </c>
      <c r="I50" s="41" t="n">
        <f aca="false">IF(2031=Inputs!$B$176,J45/Inputs!$B$177*(1-(1+Inputs!$B$177)^-(Inputs!$B$55-2031)),0)</f>
        <v>0</v>
      </c>
      <c r="J50" s="41" t="n">
        <f aca="false">IF(2032=Inputs!$B$176,K45/Inputs!$B$177*(1-(1+Inputs!$B$177)^-(Inputs!$B$55-2032)),0)</f>
        <v>0</v>
      </c>
      <c r="K50" s="41" t="n">
        <f aca="false">IF(2033=Inputs!$B$176,L45/Inputs!$B$177*(1-(1+Inputs!$B$177)^-(Inputs!$B$55-2033)),0)</f>
        <v>0</v>
      </c>
      <c r="L50" s="41" t="n">
        <f aca="false">IF(2034=Inputs!$B$176,M45/Inputs!$B$177*(1-(1+Inputs!$B$177)^-(Inputs!$B$55-2034)),0)</f>
        <v>0</v>
      </c>
      <c r="M50" s="41" t="n">
        <f aca="false">IF(2035=Inputs!$B$176,N45/Inputs!$B$177*(1-(1+Inputs!$B$177)^-(Inputs!$B$55-2035)),0)</f>
        <v>0</v>
      </c>
      <c r="N50" s="41" t="n">
        <f aca="false">IF(2036=Inputs!$B$176,O45/Inputs!$B$177*(1-(1+Inputs!$B$177)^-(Inputs!$B$55-2036)),0)</f>
        <v>0</v>
      </c>
      <c r="O50" s="41" t="n">
        <f aca="false">IF(2037=Inputs!$B$176,P45/Inputs!$B$177*(1-(1+Inputs!$B$177)^-(Inputs!$B$55-2037)),0)</f>
        <v>0</v>
      </c>
      <c r="P50" s="41" t="n">
        <f aca="false">IF(2038=Inputs!$B$176,Q45/Inputs!$B$177*(1-(1+Inputs!$B$177)^-(Inputs!$B$55-2038)),0)</f>
        <v>0</v>
      </c>
      <c r="Q50" s="41" t="n">
        <f aca="false">IF(2039=Inputs!$B$176,R45/Inputs!$B$177*(1-(1+Inputs!$B$177)^-(Inputs!$B$55-2039)),0)</f>
        <v>0</v>
      </c>
      <c r="R50" s="41" t="n">
        <f aca="false">IF(2040=Inputs!$B$176,S45/Inputs!$B$177*(1-(1+Inputs!$B$177)^-(Inputs!$B$55-2040)),0)</f>
        <v>614.007712948255</v>
      </c>
      <c r="S50" s="41" t="n">
        <f aca="false">IF(2041=Inputs!$B$176,T45/Inputs!$B$177*(1-(1+Inputs!$B$177)^-(Inputs!$B$55-2041)),0)</f>
        <v>0</v>
      </c>
      <c r="T50" s="41" t="n">
        <f aca="false">IF(2042=Inputs!$B$176,U45/Inputs!$B$177*(1-(1+Inputs!$B$177)^-(Inputs!$B$55-2042)),0)</f>
        <v>0</v>
      </c>
      <c r="U50" s="41" t="n">
        <f aca="false">IF(2043=Inputs!$B$176,V45/Inputs!$B$177*(1-(1+Inputs!$B$177)^-(Inputs!$B$55-2043)),0)</f>
        <v>0</v>
      </c>
      <c r="V50" s="41" t="n">
        <f aca="false">IF(2044=Inputs!$B$176,W45/Inputs!$B$177*(1-(1+Inputs!$B$177)^-(Inputs!$B$55-2044)),0)</f>
        <v>0</v>
      </c>
      <c r="W50" s="41" t="n">
        <f aca="false">IF(2045=Inputs!$B$176,X45/Inputs!$B$177*(1-(1+Inputs!$B$177)^-(Inputs!$B$55-2045)),0)</f>
        <v>0</v>
      </c>
      <c r="X50" s="41" t="n">
        <f aca="false">IF(2046=Inputs!$B$176,Y45/Inputs!$B$177*(1-(1+Inputs!$B$177)^-(Inputs!$B$55-2046)),0)</f>
        <v>0</v>
      </c>
      <c r="Y50" s="41" t="n">
        <f aca="false">IF(2047=Inputs!$B$176,Z45/Inputs!$B$177*(1-(1+Inputs!$B$177)^-(Inputs!$B$55-2047)),0)</f>
        <v>0</v>
      </c>
      <c r="Z50" s="41" t="n">
        <f aca="false">IF(2048=Inputs!$B$176,AA45/Inputs!$B$177*(1-(1+Inputs!$B$177)^-(Inputs!$B$55-2048)),0)</f>
        <v>0</v>
      </c>
      <c r="AA50" s="41" t="n">
        <f aca="false">IF(2049=Inputs!$B$176,AB45/Inputs!$B$177*(1-(1+Inputs!$B$177)^-(Inputs!$B$55-2049)),0)</f>
        <v>0</v>
      </c>
      <c r="AB50" s="41" t="n">
        <f aca="false">IF(2050=Inputs!$B$176,AC45/Inputs!$B$177*(1-(1+Inputs!$B$177)^-(Inputs!$B$55-2050)),0)</f>
        <v>0</v>
      </c>
      <c r="AC50" s="41" t="n">
        <f aca="false">IF(2051=Inputs!$B$176,AD45/Inputs!$B$177*(1-(1+Inputs!$B$177)^-(Inputs!$B$55-2051)),0)</f>
        <v>0</v>
      </c>
      <c r="AD50" s="41" t="n">
        <f aca="false">IF(2052=Inputs!$B$176,AE45/Inputs!$B$177*(1-(1+Inputs!$B$177)^-(Inputs!$B$55-2052)),0)</f>
        <v>0</v>
      </c>
      <c r="AE50" s="41" t="n">
        <f aca="false">IF(2053=Inputs!$B$176,AF45/Inputs!$B$177*(1-(1+Inputs!$B$177)^-(Inputs!$B$55-2053)),0)</f>
        <v>0</v>
      </c>
      <c r="AF50" s="41" t="n">
        <f aca="false">IF(2054=Inputs!$B$176,AG45/Inputs!$B$177*(1-(1+Inputs!$B$177)^-(Inputs!$B$55-2054)),0)</f>
        <v>0</v>
      </c>
      <c r="AG50" s="41" t="n">
        <f aca="false">IF(2055=Inputs!$B$176,AH45/Inputs!$B$177*(1-(1+Inputs!$B$177)^-(Inputs!$B$55-2055)),0)</f>
        <v>0</v>
      </c>
      <c r="AH50" s="41" t="n">
        <f aca="false">IF(2056=Inputs!$B$176,AI45/Inputs!$B$177*(1-(1+Inputs!$B$177)^-(Inputs!$B$55-2056)),0)</f>
        <v>0</v>
      </c>
      <c r="AI50" s="41" t="n">
        <f aca="false">IF(2057=Inputs!$B$176,AJ45/Inputs!$B$177*(1-(1+Inputs!$B$177)^-(Inputs!$B$55-2057)),0)</f>
        <v>0</v>
      </c>
      <c r="AJ50" s="41" t="n">
        <f aca="false">IF(2058=Inputs!$B$176,AK45/Inputs!$B$177*(1-(1+Inputs!$B$177)^-(Inputs!$B$55-2058)),0)</f>
        <v>0</v>
      </c>
      <c r="AK50" s="41" t="n">
        <f aca="false">IF(2059=Inputs!$B$176,AL45/Inputs!$B$177*(1-(1+Inputs!$B$177)^-(Inputs!$B$55-2059)),0)</f>
        <v>0</v>
      </c>
      <c r="AL50" s="41" t="n">
        <f aca="false">IF(2060=Inputs!$B$176,AM45/Inputs!$B$177*(1-(1+Inputs!$B$177)^-(Inputs!$B$55-2060)),0)</f>
        <v>0</v>
      </c>
      <c r="AM50" s="41" t="n">
        <f aca="false">IF(2061=Inputs!$B$176,AN45/Inputs!$B$177*(1-(1+Inputs!$B$177)^-(Inputs!$B$55-2061)),0)</f>
        <v>0</v>
      </c>
      <c r="AN50" s="41" t="n">
        <f aca="false">IF(2062=Inputs!$B$176,AO45/Inputs!$B$177*(1-(1+Inputs!$B$177)^-(Inputs!$B$55-2062)),0)</f>
        <v>0</v>
      </c>
      <c r="AO50" s="41" t="n">
        <f aca="false">IF(2063=Inputs!$B$176,AP45/Inputs!$B$177*(1-(1+Inputs!$B$177)^-(Inputs!$B$55-2063)),0)</f>
        <v>0</v>
      </c>
      <c r="AP50" s="41" t="n">
        <f aca="false">IF(2064=Inputs!$B$176,AQ45/Inputs!$B$177*(1-(1+Inputs!$B$177)^-(Inputs!$B$55-2064)),0)</f>
        <v>0</v>
      </c>
      <c r="AQ50" s="41" t="n">
        <f aca="false">IF(2065=Inputs!$B$176,AR45/Inputs!$B$177*(1-(1+Inputs!$B$177)^-(Inputs!$B$55-2065)),0)</f>
        <v>0</v>
      </c>
      <c r="AR50" s="41" t="n">
        <f aca="false">IF(2066=Inputs!$B$176,AS45/Inputs!$B$177*(1-(1+Inputs!$B$177)^-(Inputs!$B$55-2066)),0)</f>
        <v>0</v>
      </c>
      <c r="AS50" s="41" t="n">
        <f aca="false">IF(2067=Inputs!$B$176,AT45/Inputs!$B$177*(1-(1+Inputs!$B$177)^-(Inputs!$B$55-2067)),0)</f>
        <v>0</v>
      </c>
      <c r="AT50" s="41" t="n">
        <f aca="false">IF(2068=Inputs!$B$176,AU45/Inputs!$B$177*(1-(1+Inputs!$B$177)^-(Inputs!$B$55-2068)),0)</f>
        <v>0</v>
      </c>
      <c r="AU50" s="41" t="n">
        <f aca="false">IF(2069=Inputs!$B$176,AV45/Inputs!$B$177*(1-(1+Inputs!$B$177)^-(Inputs!$B$55-2069)),0)</f>
        <v>0</v>
      </c>
      <c r="AV50" s="41" t="n">
        <f aca="false">IF(2070=Inputs!$B$176,AW45/Inputs!$B$177*(1-(1+Inputs!$B$177)^-(Inputs!$B$55-2070)),0)</f>
        <v>0</v>
      </c>
      <c r="AW50" s="41" t="n">
        <f aca="false">IF(2071=Inputs!$B$176,AX45/Inputs!$B$177*(1-(1+Inputs!$B$177)^-(Inputs!$B$55-2071)),0)</f>
        <v>0</v>
      </c>
      <c r="AX50" s="41" t="n">
        <f aca="false">IF(2072=Inputs!$B$176,AY45/Inputs!$B$177*(1-(1+Inputs!$B$177)^-(Inputs!$B$55-2072)),0)</f>
        <v>0</v>
      </c>
      <c r="AY50" s="41" t="n">
        <f aca="false">IF(2073=Inputs!$B$176,AZ45/Inputs!$B$177*(1-(1+Inputs!$B$177)^-(Inputs!$B$55-2073)),0)</f>
        <v>0</v>
      </c>
      <c r="AZ50" s="41" t="n">
        <f aca="false">IF(2074=Inputs!$B$176,AZ45/Inputs!$B$177*(1-(1+Inputs!$B$177)^-(Inputs!$B$55-2074)),0)</f>
        <v>0</v>
      </c>
    </row>
    <row r="51" customFormat="false" ht="15" hidden="false" customHeight="true" outlineLevel="0" collapsed="false">
      <c r="A51" s="6" t="s">
        <v>609</v>
      </c>
      <c r="C51" s="21" t="n">
        <f aca="false">SUM(D51:AZ51)</f>
        <v>971.576177947906</v>
      </c>
      <c r="D51" s="21" t="n">
        <f aca="false">IF(2026&gt;Inputs!$B$176,0,D48+D50)</f>
        <v>-6.86497809739291</v>
      </c>
      <c r="E51" s="21" t="n">
        <f aca="false">IF(2027&gt;Inputs!$B$176,0,E48+E50)</f>
        <v>-56.631564849179</v>
      </c>
      <c r="F51" s="21" t="n">
        <f aca="false">IF(2028&gt;Inputs!$B$176,0,F48+F50)</f>
        <v>-69.495699651528</v>
      </c>
      <c r="G51" s="21" t="n">
        <f aca="false">IF(2029&gt;Inputs!$B$176,0,G48+G50)</f>
        <v>23.0488171153561</v>
      </c>
      <c r="H51" s="21" t="n">
        <f aca="false">IF(2030&gt;Inputs!$B$176,0,H48+H50)</f>
        <v>25.2376495552299</v>
      </c>
      <c r="I51" s="21" t="n">
        <f aca="false">IF(2031&gt;Inputs!$B$176,0,I48+I50)</f>
        <v>26.7549363061006</v>
      </c>
      <c r="J51" s="21" t="n">
        <f aca="false">IF(2032&gt;Inputs!$B$176,0,J48+J50)</f>
        <v>30.160939725743</v>
      </c>
      <c r="K51" s="21" t="n">
        <f aca="false">IF(2033&gt;Inputs!$B$176,0,K48+K50)</f>
        <v>33.7869382308765</v>
      </c>
      <c r="L51" s="21" t="n">
        <f aca="false">IF(2034&gt;Inputs!$B$176,0,L48+L50)</f>
        <v>37.9992861986384</v>
      </c>
      <c r="M51" s="21" t="n">
        <f aca="false">IF(2035&gt;Inputs!$B$176,0,M48+M50)</f>
        <v>42.6457538655943</v>
      </c>
      <c r="N51" s="21" t="n">
        <f aca="false">IF(2036&gt;Inputs!$B$176,0,N48+N50)</f>
        <v>46.4767272242241</v>
      </c>
      <c r="O51" s="21" t="n">
        <f aca="false">IF(2037&gt;Inputs!$B$176,0,O48+O50)</f>
        <v>50.2312079168196</v>
      </c>
      <c r="P51" s="21" t="n">
        <f aca="false">IF(2038&gt;Inputs!$B$176,0,P48+P50)</f>
        <v>53.9379331267301</v>
      </c>
      <c r="Q51" s="21" t="n">
        <f aca="false">IF(2039&gt;Inputs!$B$176,0,Q48+Q50)</f>
        <v>57.9767954668883</v>
      </c>
      <c r="R51" s="21" t="n">
        <f aca="false">IF(2040&gt;Inputs!$B$176,0,R48+R50)</f>
        <v>676.311435813805</v>
      </c>
      <c r="S51" s="21" t="n">
        <f aca="false">IF(2041&gt;Inputs!$B$176,0,S48+S50)</f>
        <v>0</v>
      </c>
      <c r="T51" s="21" t="n">
        <f aca="false">IF(2042&gt;Inputs!$B$176,0,T48+T50)</f>
        <v>0</v>
      </c>
      <c r="U51" s="21" t="n">
        <f aca="false">IF(2043&gt;Inputs!$B$176,0,U48+U50)</f>
        <v>0</v>
      </c>
      <c r="V51" s="21" t="n">
        <f aca="false">IF(2044&gt;Inputs!$B$176,0,V48+V50)</f>
        <v>0</v>
      </c>
      <c r="W51" s="21" t="n">
        <f aca="false">IF(2045&gt;Inputs!$B$176,0,W48+W50)</f>
        <v>0</v>
      </c>
      <c r="X51" s="21" t="n">
        <f aca="false">IF(2046&gt;Inputs!$B$176,0,X48+X50)</f>
        <v>0</v>
      </c>
      <c r="Y51" s="21" t="n">
        <f aca="false">IF(2047&gt;Inputs!$B$176,0,Y48+Y50)</f>
        <v>0</v>
      </c>
      <c r="Z51" s="21" t="n">
        <f aca="false">IF(2048&gt;Inputs!$B$176,0,Z48+Z50)</f>
        <v>0</v>
      </c>
      <c r="AA51" s="21" t="n">
        <f aca="false">IF(2049&gt;Inputs!$B$176,0,AA48+AA50)</f>
        <v>0</v>
      </c>
      <c r="AB51" s="21" t="n">
        <f aca="false">IF(2050&gt;Inputs!$B$176,0,AB48+AB50)</f>
        <v>0</v>
      </c>
      <c r="AC51" s="21" t="n">
        <f aca="false">IF(2051&gt;Inputs!$B$176,0,AC48+AC50)</f>
        <v>0</v>
      </c>
      <c r="AD51" s="21" t="n">
        <f aca="false">IF(2052&gt;Inputs!$B$176,0,AD48+AD50)</f>
        <v>0</v>
      </c>
      <c r="AE51" s="21" t="n">
        <f aca="false">IF(2053&gt;Inputs!$B$176,0,AE48+AE50)</f>
        <v>0</v>
      </c>
      <c r="AF51" s="21" t="n">
        <f aca="false">IF(2054&gt;Inputs!$B$176,0,AF48+AF50)</f>
        <v>0</v>
      </c>
      <c r="AG51" s="21" t="n">
        <f aca="false">IF(2055&gt;Inputs!$B$176,0,AG48+AG50)</f>
        <v>0</v>
      </c>
      <c r="AH51" s="21" t="n">
        <f aca="false">IF(2056&gt;Inputs!$B$176,0,AH48+AH50)</f>
        <v>0</v>
      </c>
      <c r="AI51" s="21" t="n">
        <f aca="false">IF(2057&gt;Inputs!$B$176,0,AI48+AI50)</f>
        <v>0</v>
      </c>
      <c r="AJ51" s="21" t="n">
        <f aca="false">IF(2058&gt;Inputs!$B$176,0,AJ48+AJ50)</f>
        <v>0</v>
      </c>
      <c r="AK51" s="21" t="n">
        <f aca="false">IF(2059&gt;Inputs!$B$176,0,AK48+AK50)</f>
        <v>0</v>
      </c>
      <c r="AL51" s="21" t="n">
        <f aca="false">IF(2060&gt;Inputs!$B$176,0,AL48+AL50)</f>
        <v>0</v>
      </c>
      <c r="AM51" s="21" t="n">
        <f aca="false">IF(2061&gt;Inputs!$B$176,0,AM48+AM50)</f>
        <v>0</v>
      </c>
      <c r="AN51" s="21" t="n">
        <f aca="false">IF(2062&gt;Inputs!$B$176,0,AN48+AN50)</f>
        <v>0</v>
      </c>
      <c r="AO51" s="21" t="n">
        <f aca="false">IF(2063&gt;Inputs!$B$176,0,AO48+AO50)</f>
        <v>0</v>
      </c>
      <c r="AP51" s="21" t="n">
        <f aca="false">IF(2064&gt;Inputs!$B$176,0,AP48+AP50)</f>
        <v>0</v>
      </c>
      <c r="AQ51" s="21" t="n">
        <f aca="false">IF(2065&gt;Inputs!$B$176,0,AQ48+AQ50)</f>
        <v>0</v>
      </c>
      <c r="AR51" s="21" t="n">
        <f aca="false">IF(2066&gt;Inputs!$B$176,0,AR48+AR50)</f>
        <v>0</v>
      </c>
      <c r="AS51" s="21" t="n">
        <f aca="false">IF(2067&gt;Inputs!$B$176,0,AS48+AS50)</f>
        <v>0</v>
      </c>
      <c r="AT51" s="21" t="n">
        <f aca="false">IF(2068&gt;Inputs!$B$176,0,AT48+AT50)</f>
        <v>0</v>
      </c>
      <c r="AU51" s="21" t="n">
        <f aca="false">IF(2069&gt;Inputs!$B$176,0,AU48+AU50)</f>
        <v>0</v>
      </c>
      <c r="AV51" s="21" t="n">
        <f aca="false">IF(2070&gt;Inputs!$B$176,0,AV48+AV50)</f>
        <v>0</v>
      </c>
      <c r="AW51" s="21" t="n">
        <f aca="false">IF(2071&gt;Inputs!$B$176,0,AW48+AW50)</f>
        <v>0</v>
      </c>
      <c r="AX51" s="21" t="n">
        <f aca="false">IF(2072&gt;Inputs!$B$176,0,AX48+AX50)</f>
        <v>0</v>
      </c>
      <c r="AY51" s="21" t="n">
        <f aca="false">IF(2073&gt;Inputs!$B$176,0,AY48+AY50)</f>
        <v>0</v>
      </c>
      <c r="AZ51" s="21" t="n">
        <f aca="false">IF(2074&gt;Inputs!$B$176,0,AZ48+AZ50)</f>
        <v>0</v>
      </c>
    </row>
    <row r="53" customFormat="false" ht="15" hidden="false" customHeight="true" outlineLevel="0" collapsed="false">
      <c r="A53" s="11" t="s">
        <v>610</v>
      </c>
      <c r="B53" s="47"/>
      <c r="C53" s="47"/>
    </row>
    <row r="54" customFormat="false" ht="15" hidden="false" customHeight="true" outlineLevel="0" collapsed="false">
      <c r="A54" s="6" t="s">
        <v>611</v>
      </c>
      <c r="C54" s="21" t="n">
        <f aca="false">IFERROR(C22,0)</f>
        <v>134.577813870086</v>
      </c>
    </row>
    <row r="55" customFormat="false" ht="15" hidden="false" customHeight="true" outlineLevel="0" collapsed="false">
      <c r="A55" s="6" t="s">
        <v>612</v>
      </c>
      <c r="C55" s="21" t="n">
        <f aca="false">IFERROR(J45,0)</f>
        <v>30.160939725743</v>
      </c>
    </row>
    <row r="56" customFormat="false" ht="15" hidden="false" customHeight="true" outlineLevel="0" collapsed="false">
      <c r="A56" s="6" t="s">
        <v>613</v>
      </c>
      <c r="C56" s="52" t="n">
        <f aca="false">IFERROR(IF(J32=0,0,J45/J32),0)</f>
        <v>0.239705461758339</v>
      </c>
    </row>
    <row r="57" customFormat="false" ht="15" hidden="false" customHeight="true" outlineLevel="0" collapsed="false">
      <c r="A57" s="6" t="s">
        <v>614</v>
      </c>
      <c r="C57" s="52" t="n">
        <f aca="false">IFERROR(J45/C22,0)</f>
        <v>0.224115244990223</v>
      </c>
    </row>
    <row r="58" customFormat="false" ht="15" hidden="false" customHeight="true" outlineLevel="0" collapsed="false">
      <c r="A58" s="6" t="s">
        <v>615</v>
      </c>
      <c r="C58" s="52" t="n">
        <f aca="false">IFERROR(IRR(D48:AZ48),0)</f>
        <v>0.237260209864076</v>
      </c>
    </row>
    <row r="59" customFormat="false" ht="15" hidden="false" customHeight="true" outlineLevel="0" collapsed="false">
      <c r="A59" s="6" t="s">
        <v>616</v>
      </c>
      <c r="C59" s="52" t="n">
        <f aca="false">IFERROR(IRR(D51:AZ51),0)</f>
        <v>0.262385323134446</v>
      </c>
    </row>
    <row r="60" customFormat="false" ht="15" hidden="false" customHeight="true" outlineLevel="0" collapsed="false">
      <c r="A60" s="6" t="s">
        <v>617</v>
      </c>
      <c r="C60" s="53" t="str">
        <f aca="false">IFERROR(INDEX(D4:AZ4,MATCH(TRUE(),INDEX(D49:AZ49&gt;0,0),0)),0)</f>
        <v>2033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Z5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0"/>
    <col collapsed="false" customWidth="true" hidden="false" outlineLevel="0" max="2" min="2" style="1" width="26"/>
    <col collapsed="false" customWidth="true" hidden="false" outlineLevel="0" max="3" min="3" style="1" width="11"/>
    <col collapsed="false" customWidth="true" hidden="false" outlineLevel="0" max="52" min="4" style="1" width="9.52"/>
  </cols>
  <sheetData>
    <row r="1" customFormat="false" ht="17.25" hidden="false" customHeight="true" outlineLevel="0" collapsed="false">
      <c r="A1" s="8" t="s">
        <v>631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customFormat="false" ht="15" hidden="false" customHeight="true" outlineLevel="0" collapsed="false">
      <c r="A2" s="10" t="s">
        <v>632</v>
      </c>
    </row>
    <row r="4" customFormat="false" ht="15" hidden="false" customHeight="true" outlineLevel="0" collapsed="false">
      <c r="A4" s="6" t="s">
        <v>336</v>
      </c>
      <c r="B4" s="6" t="s">
        <v>337</v>
      </c>
      <c r="C4" s="46" t="s">
        <v>338</v>
      </c>
      <c r="D4" s="39" t="s">
        <v>64</v>
      </c>
      <c r="E4" s="39" t="s">
        <v>65</v>
      </c>
      <c r="F4" s="39" t="s">
        <v>66</v>
      </c>
      <c r="G4" s="39" t="s">
        <v>339</v>
      </c>
      <c r="H4" s="39" t="s">
        <v>340</v>
      </c>
      <c r="I4" s="39" t="s">
        <v>341</v>
      </c>
      <c r="J4" s="39" t="s">
        <v>342</v>
      </c>
      <c r="K4" s="39" t="s">
        <v>343</v>
      </c>
      <c r="L4" s="39" t="s">
        <v>344</v>
      </c>
      <c r="M4" s="39" t="s">
        <v>345</v>
      </c>
      <c r="N4" s="39" t="s">
        <v>346</v>
      </c>
      <c r="O4" s="39" t="s">
        <v>347</v>
      </c>
      <c r="P4" s="39" t="s">
        <v>348</v>
      </c>
      <c r="Q4" s="39" t="s">
        <v>349</v>
      </c>
      <c r="R4" s="39" t="s">
        <v>350</v>
      </c>
      <c r="S4" s="39" t="s">
        <v>351</v>
      </c>
      <c r="T4" s="39" t="s">
        <v>352</v>
      </c>
      <c r="U4" s="39" t="s">
        <v>353</v>
      </c>
      <c r="V4" s="39" t="s">
        <v>354</v>
      </c>
      <c r="W4" s="39" t="s">
        <v>355</v>
      </c>
      <c r="X4" s="39" t="s">
        <v>356</v>
      </c>
      <c r="Y4" s="39" t="s">
        <v>357</v>
      </c>
      <c r="Z4" s="39" t="s">
        <v>358</v>
      </c>
      <c r="AA4" s="39" t="s">
        <v>359</v>
      </c>
      <c r="AB4" s="39" t="s">
        <v>360</v>
      </c>
      <c r="AC4" s="39" t="s">
        <v>361</v>
      </c>
      <c r="AD4" s="39" t="s">
        <v>362</v>
      </c>
      <c r="AE4" s="39" t="s">
        <v>363</v>
      </c>
      <c r="AF4" s="39" t="s">
        <v>364</v>
      </c>
      <c r="AG4" s="39" t="s">
        <v>365</v>
      </c>
      <c r="AH4" s="39" t="s">
        <v>366</v>
      </c>
      <c r="AI4" s="39" t="s">
        <v>367</v>
      </c>
      <c r="AJ4" s="39" t="s">
        <v>368</v>
      </c>
      <c r="AK4" s="39" t="s">
        <v>369</v>
      </c>
      <c r="AL4" s="39" t="s">
        <v>370</v>
      </c>
      <c r="AM4" s="39" t="s">
        <v>371</v>
      </c>
      <c r="AN4" s="39" t="s">
        <v>372</v>
      </c>
      <c r="AO4" s="39" t="s">
        <v>373</v>
      </c>
      <c r="AP4" s="39" t="s">
        <v>374</v>
      </c>
      <c r="AQ4" s="39" t="s">
        <v>375</v>
      </c>
      <c r="AR4" s="39" t="s">
        <v>376</v>
      </c>
      <c r="AS4" s="39" t="s">
        <v>377</v>
      </c>
      <c r="AT4" s="39" t="s">
        <v>378</v>
      </c>
      <c r="AU4" s="39" t="s">
        <v>379</v>
      </c>
      <c r="AV4" s="39" t="s">
        <v>380</v>
      </c>
      <c r="AW4" s="39" t="s">
        <v>381</v>
      </c>
      <c r="AX4" s="39" t="s">
        <v>382</v>
      </c>
      <c r="AY4" s="39" t="s">
        <v>383</v>
      </c>
      <c r="AZ4" s="39" t="s">
        <v>384</v>
      </c>
    </row>
    <row r="5" customFormat="false" ht="15" hidden="false" customHeight="true" outlineLevel="0" collapsed="false">
      <c r="A5" s="11" t="s">
        <v>587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</row>
    <row r="6" customFormat="false" ht="15" hidden="false" customHeight="true" outlineLevel="0" collapsed="false">
      <c r="A6" s="13" t="s">
        <v>67</v>
      </c>
      <c r="C6" s="41" t="n">
        <f aca="false">SUM(D6:AZ6)</f>
        <v>48.8405541162444</v>
      </c>
      <c r="D6" s="40" t="n">
        <f aca="false">(Inputs!$B$26*(Inputs!$B$196/(Inputs!$B$194+Inputs!$B$195+Inputs!$B$196))-(Inputs!$B$45*Inputs!$B$46)*Inputs!$B$26/(SUM(Inputs!$B$26:$D$26)+SUM(Inputs!$B$27:$D$27)))*Inputs!$B$5</f>
        <v>11.2708971037487</v>
      </c>
      <c r="E6" s="40" t="n">
        <f aca="false">(Inputs!$C$26*(Inputs!$B$196/(Inputs!$B$194+Inputs!$B$195+Inputs!$B$196))-(Inputs!$B$45*Inputs!$B$46)*Inputs!$C$26/(SUM(Inputs!$B$26:$D$26)+SUM(Inputs!$B$27:$D$27)))*Inputs!$B$5</f>
        <v>37.5696570124957</v>
      </c>
      <c r="F6" s="40" t="n">
        <f aca="false">(Inputs!$D$26*(Inputs!$B$196/(Inputs!$B$194+Inputs!$B$195+Inputs!$B$196))-(Inputs!$B$45*Inputs!$B$46)*Inputs!$D$26/(SUM(Inputs!$B$26:$D$26)+SUM(Inputs!$B$27:$D$27)))*Inputs!$B$5</f>
        <v>0</v>
      </c>
      <c r="G6" s="40" t="n">
        <v>0</v>
      </c>
      <c r="H6" s="40" t="n">
        <v>0</v>
      </c>
      <c r="I6" s="40" t="n">
        <v>0</v>
      </c>
      <c r="J6" s="40" t="n">
        <v>0</v>
      </c>
      <c r="K6" s="40" t="n">
        <v>0</v>
      </c>
      <c r="L6" s="40" t="n">
        <v>0</v>
      </c>
      <c r="M6" s="40" t="n">
        <v>0</v>
      </c>
      <c r="N6" s="40" t="n">
        <v>0</v>
      </c>
      <c r="O6" s="40" t="n">
        <v>0</v>
      </c>
      <c r="P6" s="40" t="n">
        <v>0</v>
      </c>
      <c r="Q6" s="40" t="n">
        <v>0</v>
      </c>
      <c r="R6" s="40" t="n">
        <v>0</v>
      </c>
      <c r="S6" s="40" t="n">
        <v>0</v>
      </c>
      <c r="T6" s="40" t="n">
        <v>0</v>
      </c>
      <c r="U6" s="40" t="n">
        <v>0</v>
      </c>
      <c r="V6" s="40" t="n">
        <v>0</v>
      </c>
      <c r="W6" s="40" t="n">
        <v>0</v>
      </c>
      <c r="X6" s="40" t="n">
        <v>0</v>
      </c>
      <c r="Y6" s="40" t="n">
        <v>0</v>
      </c>
      <c r="Z6" s="40" t="n">
        <v>0</v>
      </c>
      <c r="AA6" s="40" t="n">
        <v>0</v>
      </c>
      <c r="AB6" s="40" t="n">
        <v>0</v>
      </c>
      <c r="AC6" s="40" t="n">
        <v>0</v>
      </c>
      <c r="AD6" s="40" t="n">
        <v>0</v>
      </c>
      <c r="AE6" s="40" t="n">
        <v>0</v>
      </c>
      <c r="AF6" s="40" t="n">
        <v>0</v>
      </c>
      <c r="AG6" s="40" t="n">
        <v>0</v>
      </c>
      <c r="AH6" s="40" t="n">
        <v>0</v>
      </c>
      <c r="AI6" s="40" t="n">
        <v>0</v>
      </c>
      <c r="AJ6" s="40" t="n">
        <v>0</v>
      </c>
      <c r="AK6" s="40" t="n">
        <v>0</v>
      </c>
      <c r="AL6" s="40" t="n">
        <v>0</v>
      </c>
      <c r="AM6" s="40" t="n">
        <v>0</v>
      </c>
      <c r="AN6" s="40" t="n">
        <v>0</v>
      </c>
      <c r="AO6" s="40" t="n">
        <v>0</v>
      </c>
      <c r="AP6" s="40" t="n">
        <v>0</v>
      </c>
      <c r="AQ6" s="40" t="n">
        <v>0</v>
      </c>
      <c r="AR6" s="40" t="n">
        <v>0</v>
      </c>
      <c r="AS6" s="40" t="n">
        <v>0</v>
      </c>
      <c r="AT6" s="40" t="n">
        <v>0</v>
      </c>
      <c r="AU6" s="40" t="n">
        <v>0</v>
      </c>
      <c r="AV6" s="40" t="n">
        <v>0</v>
      </c>
      <c r="AW6" s="40" t="n">
        <v>0</v>
      </c>
      <c r="AX6" s="40" t="n">
        <v>0</v>
      </c>
      <c r="AY6" s="40" t="n">
        <v>0</v>
      </c>
      <c r="AZ6" s="40" t="n">
        <v>0</v>
      </c>
    </row>
    <row r="7" customFormat="false" ht="15" hidden="false" customHeight="true" outlineLevel="0" collapsed="false">
      <c r="A7" s="13" t="s">
        <v>68</v>
      </c>
      <c r="C7" s="41" t="n">
        <f aca="false">SUM(D7:AZ7)</f>
        <v>45.0835884149948</v>
      </c>
      <c r="D7" s="40" t="n">
        <f aca="false">(Inputs!$B$27*(Inputs!$B$196/(Inputs!$B$194+Inputs!$B$195+Inputs!$B$196))-(Inputs!$B$45*Inputs!$B$46)*Inputs!$B$27/(SUM(Inputs!$B$26:$D$26)+SUM(Inputs!$B$27:$D$27)))*Inputs!$B$5</f>
        <v>0</v>
      </c>
      <c r="E7" s="40" t="n">
        <f aca="false">(Inputs!$C$27*(Inputs!$B$196/(Inputs!$B$194+Inputs!$B$195+Inputs!$B$196))-(Inputs!$B$45*Inputs!$B$46)*Inputs!$C$27/(SUM(Inputs!$B$26:$D$26)+SUM(Inputs!$B$27:$D$27)))*Inputs!$B$5</f>
        <v>24.8335432852596</v>
      </c>
      <c r="F7" s="40" t="n">
        <f aca="false">(Inputs!$D$27*(Inputs!$B$196/(Inputs!$B$194+Inputs!$B$195+Inputs!$B$196))-(Inputs!$B$45*Inputs!$B$46)*Inputs!$D$27/(SUM(Inputs!$B$26:$D$26)+SUM(Inputs!$B$27:$D$27)))*Inputs!$B$5</f>
        <v>20.2500451297352</v>
      </c>
      <c r="G7" s="40" t="n">
        <v>0</v>
      </c>
      <c r="H7" s="40" t="n">
        <v>0</v>
      </c>
      <c r="I7" s="40" t="n">
        <v>0</v>
      </c>
      <c r="J7" s="40" t="n">
        <v>0</v>
      </c>
      <c r="K7" s="40" t="n">
        <v>0</v>
      </c>
      <c r="L7" s="40" t="n">
        <v>0</v>
      </c>
      <c r="M7" s="40" t="n">
        <v>0</v>
      </c>
      <c r="N7" s="40" t="n">
        <v>0</v>
      </c>
      <c r="O7" s="40" t="n">
        <v>0</v>
      </c>
      <c r="P7" s="40" t="n">
        <v>0</v>
      </c>
      <c r="Q7" s="40" t="n">
        <v>0</v>
      </c>
      <c r="R7" s="40" t="n">
        <v>0</v>
      </c>
      <c r="S7" s="40" t="n">
        <v>0</v>
      </c>
      <c r="T7" s="40" t="n">
        <v>0</v>
      </c>
      <c r="U7" s="40" t="n">
        <v>0</v>
      </c>
      <c r="V7" s="40" t="n">
        <v>0</v>
      </c>
      <c r="W7" s="40" t="n">
        <v>0</v>
      </c>
      <c r="X7" s="40" t="n">
        <v>0</v>
      </c>
      <c r="Y7" s="40" t="n">
        <v>0</v>
      </c>
      <c r="Z7" s="40" t="n">
        <v>0</v>
      </c>
      <c r="AA7" s="40" t="n">
        <v>0</v>
      </c>
      <c r="AB7" s="40" t="n">
        <v>0</v>
      </c>
      <c r="AC7" s="40" t="n">
        <v>0</v>
      </c>
      <c r="AD7" s="40" t="n">
        <v>0</v>
      </c>
      <c r="AE7" s="40" t="n">
        <v>0</v>
      </c>
      <c r="AF7" s="40" t="n">
        <v>0</v>
      </c>
      <c r="AG7" s="40" t="n">
        <v>0</v>
      </c>
      <c r="AH7" s="40" t="n">
        <v>0</v>
      </c>
      <c r="AI7" s="40" t="n">
        <v>0</v>
      </c>
      <c r="AJ7" s="40" t="n">
        <v>0</v>
      </c>
      <c r="AK7" s="40" t="n">
        <v>0</v>
      </c>
      <c r="AL7" s="40" t="n">
        <v>0</v>
      </c>
      <c r="AM7" s="40" t="n">
        <v>0</v>
      </c>
      <c r="AN7" s="40" t="n">
        <v>0</v>
      </c>
      <c r="AO7" s="40" t="n">
        <v>0</v>
      </c>
      <c r="AP7" s="40" t="n">
        <v>0</v>
      </c>
      <c r="AQ7" s="40" t="n">
        <v>0</v>
      </c>
      <c r="AR7" s="40" t="n">
        <v>0</v>
      </c>
      <c r="AS7" s="40" t="n">
        <v>0</v>
      </c>
      <c r="AT7" s="40" t="n">
        <v>0</v>
      </c>
      <c r="AU7" s="40" t="n">
        <v>0</v>
      </c>
      <c r="AV7" s="40" t="n">
        <v>0</v>
      </c>
      <c r="AW7" s="40" t="n">
        <v>0</v>
      </c>
      <c r="AX7" s="40" t="n">
        <v>0</v>
      </c>
      <c r="AY7" s="40" t="n">
        <v>0</v>
      </c>
      <c r="AZ7" s="40" t="n">
        <v>0</v>
      </c>
    </row>
    <row r="8" customFormat="false" ht="15" hidden="false" customHeight="true" outlineLevel="0" collapsed="false">
      <c r="A8" s="13" t="s">
        <v>69</v>
      </c>
      <c r="C8" s="41" t="n">
        <f aca="false">SUM(D8:AZ8)</f>
        <v>31.851159908747</v>
      </c>
      <c r="D8" s="40" t="n">
        <f aca="false">Inputs!$B$28*(Inputs!$B$196/(Inputs!$B$194+Inputs!$B$195+Inputs!$B$196))*Inputs!$B$5</f>
        <v>0</v>
      </c>
      <c r="E8" s="40" t="n">
        <f aca="false">Inputs!$C$28*(Inputs!$B$196/(Inputs!$B$194+Inputs!$B$195+Inputs!$B$196))*Inputs!$B$5</f>
        <v>20.1117323995231</v>
      </c>
      <c r="F8" s="40" t="n">
        <f aca="false">Inputs!$D$28*(Inputs!$B$196/(Inputs!$B$194+Inputs!$B$195+Inputs!$B$196))*Inputs!$B$5</f>
        <v>11.7394275092239</v>
      </c>
      <c r="G8" s="40" t="n">
        <v>0</v>
      </c>
      <c r="H8" s="40" t="n">
        <v>0</v>
      </c>
      <c r="I8" s="40" t="n">
        <v>0</v>
      </c>
      <c r="J8" s="40" t="n">
        <v>0</v>
      </c>
      <c r="K8" s="40" t="n">
        <v>0</v>
      </c>
      <c r="L8" s="40" t="n">
        <v>0</v>
      </c>
      <c r="M8" s="40" t="n">
        <v>0</v>
      </c>
      <c r="N8" s="40" t="n">
        <v>0</v>
      </c>
      <c r="O8" s="40" t="n">
        <v>0</v>
      </c>
      <c r="P8" s="40" t="n">
        <v>0</v>
      </c>
      <c r="Q8" s="40" t="n">
        <v>0</v>
      </c>
      <c r="R8" s="40" t="n">
        <v>0</v>
      </c>
      <c r="S8" s="40" t="n">
        <v>0</v>
      </c>
      <c r="T8" s="40" t="n">
        <v>0</v>
      </c>
      <c r="U8" s="40" t="n">
        <v>0</v>
      </c>
      <c r="V8" s="40" t="n">
        <v>0</v>
      </c>
      <c r="W8" s="40" t="n">
        <v>0</v>
      </c>
      <c r="X8" s="40" t="n">
        <v>0</v>
      </c>
      <c r="Y8" s="40" t="n">
        <v>0</v>
      </c>
      <c r="Z8" s="40" t="n">
        <v>0</v>
      </c>
      <c r="AA8" s="40" t="n">
        <v>0</v>
      </c>
      <c r="AB8" s="40" t="n">
        <v>0</v>
      </c>
      <c r="AC8" s="40" t="n">
        <v>0</v>
      </c>
      <c r="AD8" s="40" t="n">
        <v>0</v>
      </c>
      <c r="AE8" s="40" t="n">
        <v>0</v>
      </c>
      <c r="AF8" s="40" t="n">
        <v>0</v>
      </c>
      <c r="AG8" s="40" t="n">
        <v>0</v>
      </c>
      <c r="AH8" s="40" t="n">
        <v>0</v>
      </c>
      <c r="AI8" s="40" t="n">
        <v>0</v>
      </c>
      <c r="AJ8" s="40" t="n">
        <v>0</v>
      </c>
      <c r="AK8" s="40" t="n">
        <v>0</v>
      </c>
      <c r="AL8" s="40" t="n">
        <v>0</v>
      </c>
      <c r="AM8" s="40" t="n">
        <v>0</v>
      </c>
      <c r="AN8" s="40" t="n">
        <v>0</v>
      </c>
      <c r="AO8" s="40" t="n">
        <v>0</v>
      </c>
      <c r="AP8" s="40" t="n">
        <v>0</v>
      </c>
      <c r="AQ8" s="40" t="n">
        <v>0</v>
      </c>
      <c r="AR8" s="40" t="n">
        <v>0</v>
      </c>
      <c r="AS8" s="40" t="n">
        <v>0</v>
      </c>
      <c r="AT8" s="40" t="n">
        <v>0</v>
      </c>
      <c r="AU8" s="40" t="n">
        <v>0</v>
      </c>
      <c r="AV8" s="40" t="n">
        <v>0</v>
      </c>
      <c r="AW8" s="40" t="n">
        <v>0</v>
      </c>
      <c r="AX8" s="40" t="n">
        <v>0</v>
      </c>
      <c r="AY8" s="40" t="n">
        <v>0</v>
      </c>
      <c r="AZ8" s="40" t="n">
        <v>0</v>
      </c>
    </row>
    <row r="9" customFormat="false" ht="15" hidden="false" customHeight="true" outlineLevel="0" collapsed="false">
      <c r="A9" s="13" t="s">
        <v>70</v>
      </c>
      <c r="C9" s="41" t="n">
        <f aca="false">SUM(D9:AZ9)</f>
        <v>29.6215787151347</v>
      </c>
      <c r="D9" s="40" t="n">
        <f aca="false">Inputs!$B$29*(Inputs!$B$196/(Inputs!$B$194+Inputs!$B$195+Inputs!$B$196))*Inputs!$B$5</f>
        <v>1.22854473933738</v>
      </c>
      <c r="E9" s="40" t="n">
        <f aca="false">Inputs!$C$29*(Inputs!$B$196/(Inputs!$B$194+Inputs!$B$195+Inputs!$B$196))*Inputs!$B$5</f>
        <v>14.3785236159486</v>
      </c>
      <c r="F9" s="40" t="n">
        <f aca="false">Inputs!$D$29*(Inputs!$B$196/(Inputs!$B$194+Inputs!$B$195+Inputs!$B$196))*Inputs!$B$5</f>
        <v>14.0145103598487</v>
      </c>
      <c r="G9" s="40" t="n">
        <v>0</v>
      </c>
      <c r="H9" s="40" t="n">
        <v>0</v>
      </c>
      <c r="I9" s="40" t="n">
        <v>0</v>
      </c>
      <c r="J9" s="40" t="n">
        <v>0</v>
      </c>
      <c r="K9" s="40" t="n">
        <v>0</v>
      </c>
      <c r="L9" s="40" t="n">
        <v>0</v>
      </c>
      <c r="M9" s="40" t="n">
        <v>0</v>
      </c>
      <c r="N9" s="40" t="n">
        <v>0</v>
      </c>
      <c r="O9" s="40" t="n">
        <v>0</v>
      </c>
      <c r="P9" s="40" t="n">
        <v>0</v>
      </c>
      <c r="Q9" s="40" t="n">
        <v>0</v>
      </c>
      <c r="R9" s="40" t="n">
        <v>0</v>
      </c>
      <c r="S9" s="40" t="n">
        <v>0</v>
      </c>
      <c r="T9" s="40" t="n">
        <v>0</v>
      </c>
      <c r="U9" s="40" t="n">
        <v>0</v>
      </c>
      <c r="V9" s="40" t="n">
        <v>0</v>
      </c>
      <c r="W9" s="40" t="n">
        <v>0</v>
      </c>
      <c r="X9" s="40" t="n">
        <v>0</v>
      </c>
      <c r="Y9" s="40" t="n">
        <v>0</v>
      </c>
      <c r="Z9" s="40" t="n">
        <v>0</v>
      </c>
      <c r="AA9" s="40" t="n">
        <v>0</v>
      </c>
      <c r="AB9" s="40" t="n">
        <v>0</v>
      </c>
      <c r="AC9" s="40" t="n">
        <v>0</v>
      </c>
      <c r="AD9" s="40" t="n">
        <v>0</v>
      </c>
      <c r="AE9" s="40" t="n">
        <v>0</v>
      </c>
      <c r="AF9" s="40" t="n">
        <v>0</v>
      </c>
      <c r="AG9" s="40" t="n">
        <v>0</v>
      </c>
      <c r="AH9" s="40" t="n">
        <v>0</v>
      </c>
      <c r="AI9" s="40" t="n">
        <v>0</v>
      </c>
      <c r="AJ9" s="40" t="n">
        <v>0</v>
      </c>
      <c r="AK9" s="40" t="n">
        <v>0</v>
      </c>
      <c r="AL9" s="40" t="n">
        <v>0</v>
      </c>
      <c r="AM9" s="40" t="n">
        <v>0</v>
      </c>
      <c r="AN9" s="40" t="n">
        <v>0</v>
      </c>
      <c r="AO9" s="40" t="n">
        <v>0</v>
      </c>
      <c r="AP9" s="40" t="n">
        <v>0</v>
      </c>
      <c r="AQ9" s="40" t="n">
        <v>0</v>
      </c>
      <c r="AR9" s="40" t="n">
        <v>0</v>
      </c>
      <c r="AS9" s="40" t="n">
        <v>0</v>
      </c>
      <c r="AT9" s="40" t="n">
        <v>0</v>
      </c>
      <c r="AU9" s="40" t="n">
        <v>0</v>
      </c>
      <c r="AV9" s="40" t="n">
        <v>0</v>
      </c>
      <c r="AW9" s="40" t="n">
        <v>0</v>
      </c>
      <c r="AX9" s="40" t="n">
        <v>0</v>
      </c>
      <c r="AY9" s="40" t="n">
        <v>0</v>
      </c>
      <c r="AZ9" s="40" t="n">
        <v>0</v>
      </c>
    </row>
    <row r="10" customFormat="false" ht="15" hidden="false" customHeight="true" outlineLevel="0" collapsed="false">
      <c r="A10" s="13" t="s">
        <v>328</v>
      </c>
      <c r="C10" s="41" t="n">
        <f aca="false">SUM(D10:AZ10)</f>
        <v>0</v>
      </c>
      <c r="D10" s="40" t="n">
        <v>0</v>
      </c>
      <c r="E10" s="40" t="n">
        <v>0</v>
      </c>
      <c r="F10" s="40" t="n">
        <v>0</v>
      </c>
      <c r="G10" s="40" t="n">
        <v>0</v>
      </c>
      <c r="H10" s="40" t="n">
        <v>0</v>
      </c>
      <c r="I10" s="40" t="n">
        <v>0</v>
      </c>
      <c r="J10" s="40" t="n">
        <v>0</v>
      </c>
      <c r="K10" s="40" t="n">
        <v>0</v>
      </c>
      <c r="L10" s="40" t="n">
        <v>0</v>
      </c>
      <c r="M10" s="40" t="n">
        <v>0</v>
      </c>
      <c r="N10" s="40" t="n">
        <v>0</v>
      </c>
      <c r="O10" s="40" t="n">
        <v>0</v>
      </c>
      <c r="P10" s="40" t="n">
        <v>0</v>
      </c>
      <c r="Q10" s="40" t="n">
        <v>0</v>
      </c>
      <c r="R10" s="40" t="n">
        <v>0</v>
      </c>
      <c r="S10" s="40" t="n">
        <v>0</v>
      </c>
      <c r="T10" s="40" t="n">
        <v>0</v>
      </c>
      <c r="U10" s="40" t="n">
        <v>0</v>
      </c>
      <c r="V10" s="40" t="n">
        <v>0</v>
      </c>
      <c r="W10" s="40" t="n">
        <v>0</v>
      </c>
      <c r="X10" s="40" t="n">
        <v>0</v>
      </c>
      <c r="Y10" s="40" t="n">
        <v>0</v>
      </c>
      <c r="Z10" s="40" t="n">
        <v>0</v>
      </c>
      <c r="AA10" s="40" t="n">
        <v>0</v>
      </c>
      <c r="AB10" s="40" t="n">
        <v>0</v>
      </c>
      <c r="AC10" s="40" t="n">
        <v>0</v>
      </c>
      <c r="AD10" s="40" t="n">
        <v>0</v>
      </c>
      <c r="AE10" s="40" t="n">
        <v>0</v>
      </c>
      <c r="AF10" s="40" t="n">
        <v>0</v>
      </c>
      <c r="AG10" s="40" t="n">
        <v>0</v>
      </c>
      <c r="AH10" s="40" t="n">
        <v>0</v>
      </c>
      <c r="AI10" s="40" t="n">
        <v>0</v>
      </c>
      <c r="AJ10" s="40" t="n">
        <v>0</v>
      </c>
      <c r="AK10" s="40" t="n">
        <v>0</v>
      </c>
      <c r="AL10" s="40" t="n">
        <v>0</v>
      </c>
      <c r="AM10" s="40" t="n">
        <v>0</v>
      </c>
      <c r="AN10" s="40" t="n">
        <v>0</v>
      </c>
      <c r="AO10" s="40" t="n">
        <v>0</v>
      </c>
      <c r="AP10" s="40" t="n">
        <v>0</v>
      </c>
      <c r="AQ10" s="40" t="n">
        <v>0</v>
      </c>
      <c r="AR10" s="40" t="n">
        <v>0</v>
      </c>
      <c r="AS10" s="40" t="n">
        <v>0</v>
      </c>
      <c r="AT10" s="40" t="n">
        <v>0</v>
      </c>
      <c r="AU10" s="40" t="n">
        <v>0</v>
      </c>
      <c r="AV10" s="40" t="n">
        <v>0</v>
      </c>
      <c r="AW10" s="40" t="n">
        <v>0</v>
      </c>
      <c r="AX10" s="40" t="n">
        <v>0</v>
      </c>
      <c r="AY10" s="40" t="n">
        <v>0</v>
      </c>
      <c r="AZ10" s="40" t="n">
        <v>0</v>
      </c>
    </row>
    <row r="11" customFormat="false" ht="15" hidden="false" customHeight="true" outlineLevel="0" collapsed="false">
      <c r="A11" s="13" t="s">
        <v>72</v>
      </c>
      <c r="C11" s="41" t="n">
        <f aca="false">SUM(D11:AZ11)</f>
        <v>0</v>
      </c>
      <c r="D11" s="40" t="n">
        <v>0</v>
      </c>
      <c r="E11" s="40" t="n">
        <v>0</v>
      </c>
      <c r="F11" s="40" t="n">
        <v>0</v>
      </c>
      <c r="G11" s="40" t="n">
        <v>0</v>
      </c>
      <c r="H11" s="40" t="n">
        <v>0</v>
      </c>
      <c r="I11" s="40" t="n">
        <v>0</v>
      </c>
      <c r="J11" s="40" t="n">
        <v>0</v>
      </c>
      <c r="K11" s="40" t="n">
        <v>0</v>
      </c>
      <c r="L11" s="40" t="n">
        <v>0</v>
      </c>
      <c r="M11" s="40" t="n">
        <v>0</v>
      </c>
      <c r="N11" s="40" t="n">
        <v>0</v>
      </c>
      <c r="O11" s="40" t="n">
        <v>0</v>
      </c>
      <c r="P11" s="40" t="n">
        <v>0</v>
      </c>
      <c r="Q11" s="40" t="n">
        <v>0</v>
      </c>
      <c r="R11" s="40" t="n">
        <v>0</v>
      </c>
      <c r="S11" s="40" t="n">
        <v>0</v>
      </c>
      <c r="T11" s="40" t="n">
        <v>0</v>
      </c>
      <c r="U11" s="40" t="n">
        <v>0</v>
      </c>
      <c r="V11" s="40" t="n">
        <v>0</v>
      </c>
      <c r="W11" s="40" t="n">
        <v>0</v>
      </c>
      <c r="X11" s="40" t="n">
        <v>0</v>
      </c>
      <c r="Y11" s="40" t="n">
        <v>0</v>
      </c>
      <c r="Z11" s="40" t="n">
        <v>0</v>
      </c>
      <c r="AA11" s="40" t="n">
        <v>0</v>
      </c>
      <c r="AB11" s="40" t="n">
        <v>0</v>
      </c>
      <c r="AC11" s="40" t="n">
        <v>0</v>
      </c>
      <c r="AD11" s="40" t="n">
        <v>0</v>
      </c>
      <c r="AE11" s="40" t="n">
        <v>0</v>
      </c>
      <c r="AF11" s="40" t="n">
        <v>0</v>
      </c>
      <c r="AG11" s="40" t="n">
        <v>0</v>
      </c>
      <c r="AH11" s="40" t="n">
        <v>0</v>
      </c>
      <c r="AI11" s="40" t="n">
        <v>0</v>
      </c>
      <c r="AJ11" s="40" t="n">
        <v>0</v>
      </c>
      <c r="AK11" s="40" t="n">
        <v>0</v>
      </c>
      <c r="AL11" s="40" t="n">
        <v>0</v>
      </c>
      <c r="AM11" s="40" t="n">
        <v>0</v>
      </c>
      <c r="AN11" s="40" t="n">
        <v>0</v>
      </c>
      <c r="AO11" s="40" t="n">
        <v>0</v>
      </c>
      <c r="AP11" s="40" t="n">
        <v>0</v>
      </c>
      <c r="AQ11" s="40" t="n">
        <v>0</v>
      </c>
      <c r="AR11" s="40" t="n">
        <v>0</v>
      </c>
      <c r="AS11" s="40" t="n">
        <v>0</v>
      </c>
      <c r="AT11" s="40" t="n">
        <v>0</v>
      </c>
      <c r="AU11" s="40" t="n">
        <v>0</v>
      </c>
      <c r="AV11" s="40" t="n">
        <v>0</v>
      </c>
      <c r="AW11" s="40" t="n">
        <v>0</v>
      </c>
      <c r="AX11" s="40" t="n">
        <v>0</v>
      </c>
      <c r="AY11" s="40" t="n">
        <v>0</v>
      </c>
      <c r="AZ11" s="40" t="n">
        <v>0</v>
      </c>
    </row>
    <row r="12" customFormat="false" ht="15" hidden="false" customHeight="true" outlineLevel="0" collapsed="false">
      <c r="A12" s="13" t="s">
        <v>73</v>
      </c>
      <c r="C12" s="41" t="n">
        <f aca="false">SUM(D12:AZ12)</f>
        <v>5.00518227137452</v>
      </c>
      <c r="D12" s="40" t="n">
        <f aca="false">Inputs!$B$32*(Inputs!$B$196/(Inputs!$B$194+Inputs!$B$195+Inputs!$B$196))*Inputs!$B$5</f>
        <v>0.591521541162444</v>
      </c>
      <c r="E12" s="40" t="n">
        <f aca="false">Inputs!$C$32*(Inputs!$B$196/(Inputs!$B$194+Inputs!$B$195+Inputs!$B$196))*Inputs!$B$5</f>
        <v>3.36712261892468</v>
      </c>
      <c r="F12" s="40" t="n">
        <f aca="false">Inputs!$D$32*(Inputs!$B$196/(Inputs!$B$194+Inputs!$B$195+Inputs!$B$196))*Inputs!$B$5</f>
        <v>1.0465381112874</v>
      </c>
      <c r="G12" s="40" t="n">
        <v>0</v>
      </c>
      <c r="H12" s="40" t="n">
        <v>0</v>
      </c>
      <c r="I12" s="40" t="n">
        <v>0</v>
      </c>
      <c r="J12" s="40" t="n">
        <v>0</v>
      </c>
      <c r="K12" s="40" t="n">
        <v>0</v>
      </c>
      <c r="L12" s="40" t="n">
        <v>0</v>
      </c>
      <c r="M12" s="40" t="n">
        <v>0</v>
      </c>
      <c r="N12" s="40" t="n">
        <v>0</v>
      </c>
      <c r="O12" s="40" t="n">
        <v>0</v>
      </c>
      <c r="P12" s="40" t="n">
        <v>0</v>
      </c>
      <c r="Q12" s="40" t="n">
        <v>0</v>
      </c>
      <c r="R12" s="40" t="n">
        <v>0</v>
      </c>
      <c r="S12" s="40" t="n">
        <v>0</v>
      </c>
      <c r="T12" s="40" t="n">
        <v>0</v>
      </c>
      <c r="U12" s="40" t="n">
        <v>0</v>
      </c>
      <c r="V12" s="40" t="n">
        <v>0</v>
      </c>
      <c r="W12" s="40" t="n">
        <v>0</v>
      </c>
      <c r="X12" s="40" t="n">
        <v>0</v>
      </c>
      <c r="Y12" s="40" t="n">
        <v>0</v>
      </c>
      <c r="Z12" s="40" t="n">
        <v>0</v>
      </c>
      <c r="AA12" s="40" t="n">
        <v>0</v>
      </c>
      <c r="AB12" s="40" t="n">
        <v>0</v>
      </c>
      <c r="AC12" s="40" t="n">
        <v>0</v>
      </c>
      <c r="AD12" s="40" t="n">
        <v>0</v>
      </c>
      <c r="AE12" s="40" t="n">
        <v>0</v>
      </c>
      <c r="AF12" s="40" t="n">
        <v>0</v>
      </c>
      <c r="AG12" s="40" t="n">
        <v>0</v>
      </c>
      <c r="AH12" s="40" t="n">
        <v>0</v>
      </c>
      <c r="AI12" s="40" t="n">
        <v>0</v>
      </c>
      <c r="AJ12" s="40" t="n">
        <v>0</v>
      </c>
      <c r="AK12" s="40" t="n">
        <v>0</v>
      </c>
      <c r="AL12" s="40" t="n">
        <v>0</v>
      </c>
      <c r="AM12" s="40" t="n">
        <v>0</v>
      </c>
      <c r="AN12" s="40" t="n">
        <v>0</v>
      </c>
      <c r="AO12" s="40" t="n">
        <v>0</v>
      </c>
      <c r="AP12" s="40" t="n">
        <v>0</v>
      </c>
      <c r="AQ12" s="40" t="n">
        <v>0</v>
      </c>
      <c r="AR12" s="40" t="n">
        <v>0</v>
      </c>
      <c r="AS12" s="40" t="n">
        <v>0</v>
      </c>
      <c r="AT12" s="40" t="n">
        <v>0</v>
      </c>
      <c r="AU12" s="40" t="n">
        <v>0</v>
      </c>
      <c r="AV12" s="40" t="n">
        <v>0</v>
      </c>
      <c r="AW12" s="40" t="n">
        <v>0</v>
      </c>
      <c r="AX12" s="40" t="n">
        <v>0</v>
      </c>
      <c r="AY12" s="40" t="n">
        <v>0</v>
      </c>
      <c r="AZ12" s="40" t="n">
        <v>0</v>
      </c>
    </row>
    <row r="13" customFormat="false" ht="15" hidden="false" customHeight="true" outlineLevel="0" collapsed="false">
      <c r="A13" s="13" t="s">
        <v>74</v>
      </c>
      <c r="C13" s="41" t="n">
        <f aca="false">SUM(D13:AZ13)</f>
        <v>1.82006628049983</v>
      </c>
      <c r="D13" s="40" t="n">
        <f aca="false">Inputs!$B$33*(Inputs!$B$196/(Inputs!$B$194+Inputs!$B$195+Inputs!$B$196))*Inputs!$B$5</f>
        <v>0.364013256099965</v>
      </c>
      <c r="E13" s="40" t="n">
        <f aca="false">Inputs!$C$33*(Inputs!$B$196/(Inputs!$B$194+Inputs!$B$195+Inputs!$B$196))*Inputs!$B$5</f>
        <v>0.910033140249913</v>
      </c>
      <c r="F13" s="40" t="n">
        <f aca="false">Inputs!$D$33*(Inputs!$B$196/(Inputs!$B$194+Inputs!$B$195+Inputs!$B$196))*Inputs!$B$5</f>
        <v>0.546019884149948</v>
      </c>
      <c r="G13" s="40" t="n">
        <v>0</v>
      </c>
      <c r="H13" s="40" t="n">
        <v>0</v>
      </c>
      <c r="I13" s="40" t="n">
        <v>0</v>
      </c>
      <c r="J13" s="40" t="n">
        <v>0</v>
      </c>
      <c r="K13" s="40" t="n">
        <v>0</v>
      </c>
      <c r="L13" s="40" t="n">
        <v>0</v>
      </c>
      <c r="M13" s="40" t="n">
        <v>0</v>
      </c>
      <c r="N13" s="40" t="n">
        <v>0</v>
      </c>
      <c r="O13" s="40" t="n">
        <v>0</v>
      </c>
      <c r="P13" s="40" t="n">
        <v>0</v>
      </c>
      <c r="Q13" s="40" t="n">
        <v>0</v>
      </c>
      <c r="R13" s="40" t="n">
        <v>0</v>
      </c>
      <c r="S13" s="40" t="n">
        <v>0</v>
      </c>
      <c r="T13" s="40" t="n">
        <v>0</v>
      </c>
      <c r="U13" s="40" t="n">
        <v>0</v>
      </c>
      <c r="V13" s="40" t="n">
        <v>0</v>
      </c>
      <c r="W13" s="40" t="n">
        <v>0</v>
      </c>
      <c r="X13" s="40" t="n">
        <v>0</v>
      </c>
      <c r="Y13" s="40" t="n">
        <v>0</v>
      </c>
      <c r="Z13" s="40" t="n">
        <v>0</v>
      </c>
      <c r="AA13" s="40" t="n">
        <v>0</v>
      </c>
      <c r="AB13" s="40" t="n">
        <v>0</v>
      </c>
      <c r="AC13" s="40" t="n">
        <v>0</v>
      </c>
      <c r="AD13" s="40" t="n">
        <v>0</v>
      </c>
      <c r="AE13" s="40" t="n">
        <v>0</v>
      </c>
      <c r="AF13" s="40" t="n">
        <v>0</v>
      </c>
      <c r="AG13" s="40" t="n">
        <v>0</v>
      </c>
      <c r="AH13" s="40" t="n">
        <v>0</v>
      </c>
      <c r="AI13" s="40" t="n">
        <v>0</v>
      </c>
      <c r="AJ13" s="40" t="n">
        <v>0</v>
      </c>
      <c r="AK13" s="40" t="n">
        <v>0</v>
      </c>
      <c r="AL13" s="40" t="n">
        <v>0</v>
      </c>
      <c r="AM13" s="40" t="n">
        <v>0</v>
      </c>
      <c r="AN13" s="40" t="n">
        <v>0</v>
      </c>
      <c r="AO13" s="40" t="n">
        <v>0</v>
      </c>
      <c r="AP13" s="40" t="n">
        <v>0</v>
      </c>
      <c r="AQ13" s="40" t="n">
        <v>0</v>
      </c>
      <c r="AR13" s="40" t="n">
        <v>0</v>
      </c>
      <c r="AS13" s="40" t="n">
        <v>0</v>
      </c>
      <c r="AT13" s="40" t="n">
        <v>0</v>
      </c>
      <c r="AU13" s="40" t="n">
        <v>0</v>
      </c>
      <c r="AV13" s="40" t="n">
        <v>0</v>
      </c>
      <c r="AW13" s="40" t="n">
        <v>0</v>
      </c>
      <c r="AX13" s="40" t="n">
        <v>0</v>
      </c>
      <c r="AY13" s="40" t="n">
        <v>0</v>
      </c>
      <c r="AZ13" s="40" t="n">
        <v>0</v>
      </c>
    </row>
    <row r="14" customFormat="false" ht="15" hidden="false" customHeight="true" outlineLevel="0" collapsed="false">
      <c r="A14" s="13" t="s">
        <v>75</v>
      </c>
      <c r="C14" s="41" t="n">
        <f aca="false">SUM(D14:AZ14)</f>
        <v>6.82524855187435</v>
      </c>
      <c r="D14" s="40" t="n">
        <f aca="false">Inputs!$B$34*(Inputs!$B$196/(Inputs!$B$194+Inputs!$B$195+Inputs!$B$196))*Inputs!$B$5</f>
        <v>5.36919552747449</v>
      </c>
      <c r="E14" s="40" t="n">
        <f aca="false">Inputs!$C$34*(Inputs!$B$196/(Inputs!$B$194+Inputs!$B$195+Inputs!$B$196))*Inputs!$B$5</f>
        <v>1.45605302439986</v>
      </c>
      <c r="F14" s="40" t="n">
        <f aca="false">Inputs!$D$34*(Inputs!$B$196/(Inputs!$B$194+Inputs!$B$195+Inputs!$B$196))*Inputs!$B$5</f>
        <v>0</v>
      </c>
      <c r="G14" s="40" t="n">
        <v>0</v>
      </c>
      <c r="H14" s="40" t="n">
        <v>0</v>
      </c>
      <c r="I14" s="40" t="n">
        <v>0</v>
      </c>
      <c r="J14" s="40" t="n">
        <v>0</v>
      </c>
      <c r="K14" s="40" t="n">
        <v>0</v>
      </c>
      <c r="L14" s="40" t="n">
        <v>0</v>
      </c>
      <c r="M14" s="40" t="n">
        <v>0</v>
      </c>
      <c r="N14" s="40" t="n">
        <v>0</v>
      </c>
      <c r="O14" s="40" t="n">
        <v>0</v>
      </c>
      <c r="P14" s="40" t="n">
        <v>0</v>
      </c>
      <c r="Q14" s="40" t="n">
        <v>0</v>
      </c>
      <c r="R14" s="40" t="n">
        <v>0</v>
      </c>
      <c r="S14" s="40" t="n">
        <v>0</v>
      </c>
      <c r="T14" s="40" t="n">
        <v>0</v>
      </c>
      <c r="U14" s="40" t="n">
        <v>0</v>
      </c>
      <c r="V14" s="40" t="n">
        <v>0</v>
      </c>
      <c r="W14" s="40" t="n">
        <v>0</v>
      </c>
      <c r="X14" s="40" t="n">
        <v>0</v>
      </c>
      <c r="Y14" s="40" t="n">
        <v>0</v>
      </c>
      <c r="Z14" s="40" t="n">
        <v>0</v>
      </c>
      <c r="AA14" s="40" t="n">
        <v>0</v>
      </c>
      <c r="AB14" s="40" t="n">
        <v>0</v>
      </c>
      <c r="AC14" s="40" t="n">
        <v>0</v>
      </c>
      <c r="AD14" s="40" t="n">
        <v>0</v>
      </c>
      <c r="AE14" s="40" t="n">
        <v>0</v>
      </c>
      <c r="AF14" s="40" t="n">
        <v>0</v>
      </c>
      <c r="AG14" s="40" t="n">
        <v>0</v>
      </c>
      <c r="AH14" s="40" t="n">
        <v>0</v>
      </c>
      <c r="AI14" s="40" t="n">
        <v>0</v>
      </c>
      <c r="AJ14" s="40" t="n">
        <v>0</v>
      </c>
      <c r="AK14" s="40" t="n">
        <v>0</v>
      </c>
      <c r="AL14" s="40" t="n">
        <v>0</v>
      </c>
      <c r="AM14" s="40" t="n">
        <v>0</v>
      </c>
      <c r="AN14" s="40" t="n">
        <v>0</v>
      </c>
      <c r="AO14" s="40" t="n">
        <v>0</v>
      </c>
      <c r="AP14" s="40" t="n">
        <v>0</v>
      </c>
      <c r="AQ14" s="40" t="n">
        <v>0</v>
      </c>
      <c r="AR14" s="40" t="n">
        <v>0</v>
      </c>
      <c r="AS14" s="40" t="n">
        <v>0</v>
      </c>
      <c r="AT14" s="40" t="n">
        <v>0</v>
      </c>
      <c r="AU14" s="40" t="n">
        <v>0</v>
      </c>
      <c r="AV14" s="40" t="n">
        <v>0</v>
      </c>
      <c r="AW14" s="40" t="n">
        <v>0</v>
      </c>
      <c r="AX14" s="40" t="n">
        <v>0</v>
      </c>
      <c r="AY14" s="40" t="n">
        <v>0</v>
      </c>
      <c r="AZ14" s="40" t="n">
        <v>0</v>
      </c>
    </row>
    <row r="15" customFormat="false" ht="15" hidden="false" customHeight="true" outlineLevel="0" collapsed="false">
      <c r="A15" s="13" t="s">
        <v>76</v>
      </c>
      <c r="C15" s="41" t="n">
        <f aca="false">SUM(D15:AZ15)</f>
        <v>3.64013256099965</v>
      </c>
      <c r="D15" s="40" t="n">
        <f aca="false">Inputs!$B$35*(Inputs!$B$196/(Inputs!$B$194+Inputs!$B$195+Inputs!$B$196))*Inputs!$B$5</f>
        <v>0.773528169212426</v>
      </c>
      <c r="E15" s="40" t="n">
        <f aca="false">Inputs!$C$35*(Inputs!$B$196/(Inputs!$B$194+Inputs!$B$195+Inputs!$B$196))*Inputs!$B$5</f>
        <v>1.82006628049983</v>
      </c>
      <c r="F15" s="40" t="n">
        <f aca="false">Inputs!$D$35*(Inputs!$B$196/(Inputs!$B$194+Inputs!$B$195+Inputs!$B$196))*Inputs!$B$5</f>
        <v>1.0465381112874</v>
      </c>
      <c r="G15" s="40" t="n">
        <v>0</v>
      </c>
      <c r="H15" s="40" t="n">
        <v>0</v>
      </c>
      <c r="I15" s="40" t="n">
        <v>0</v>
      </c>
      <c r="J15" s="40" t="n">
        <v>0</v>
      </c>
      <c r="K15" s="40" t="n">
        <v>0</v>
      </c>
      <c r="L15" s="40" t="n">
        <v>0</v>
      </c>
      <c r="M15" s="40" t="n">
        <v>0</v>
      </c>
      <c r="N15" s="40" t="n">
        <v>0</v>
      </c>
      <c r="O15" s="40" t="n">
        <v>0</v>
      </c>
      <c r="P15" s="40" t="n">
        <v>0</v>
      </c>
      <c r="Q15" s="40" t="n">
        <v>0</v>
      </c>
      <c r="R15" s="40" t="n">
        <v>0</v>
      </c>
      <c r="S15" s="40" t="n">
        <v>0</v>
      </c>
      <c r="T15" s="40" t="n">
        <v>0</v>
      </c>
      <c r="U15" s="40" t="n">
        <v>0</v>
      </c>
      <c r="V15" s="40" t="n">
        <v>0</v>
      </c>
      <c r="W15" s="40" t="n">
        <v>0</v>
      </c>
      <c r="X15" s="40" t="n">
        <v>0</v>
      </c>
      <c r="Y15" s="40" t="n">
        <v>0</v>
      </c>
      <c r="Z15" s="40" t="n">
        <v>0</v>
      </c>
      <c r="AA15" s="40" t="n">
        <v>0</v>
      </c>
      <c r="AB15" s="40" t="n">
        <v>0</v>
      </c>
      <c r="AC15" s="40" t="n">
        <v>0</v>
      </c>
      <c r="AD15" s="40" t="n">
        <v>0</v>
      </c>
      <c r="AE15" s="40" t="n">
        <v>0</v>
      </c>
      <c r="AF15" s="40" t="n">
        <v>0</v>
      </c>
      <c r="AG15" s="40" t="n">
        <v>0</v>
      </c>
      <c r="AH15" s="40" t="n">
        <v>0</v>
      </c>
      <c r="AI15" s="40" t="n">
        <v>0</v>
      </c>
      <c r="AJ15" s="40" t="n">
        <v>0</v>
      </c>
      <c r="AK15" s="40" t="n">
        <v>0</v>
      </c>
      <c r="AL15" s="40" t="n">
        <v>0</v>
      </c>
      <c r="AM15" s="40" t="n">
        <v>0</v>
      </c>
      <c r="AN15" s="40" t="n">
        <v>0</v>
      </c>
      <c r="AO15" s="40" t="n">
        <v>0</v>
      </c>
      <c r="AP15" s="40" t="n">
        <v>0</v>
      </c>
      <c r="AQ15" s="40" t="n">
        <v>0</v>
      </c>
      <c r="AR15" s="40" t="n">
        <v>0</v>
      </c>
      <c r="AS15" s="40" t="n">
        <v>0</v>
      </c>
      <c r="AT15" s="40" t="n">
        <v>0</v>
      </c>
      <c r="AU15" s="40" t="n">
        <v>0</v>
      </c>
      <c r="AV15" s="40" t="n">
        <v>0</v>
      </c>
      <c r="AW15" s="40" t="n">
        <v>0</v>
      </c>
      <c r="AX15" s="40" t="n">
        <v>0</v>
      </c>
      <c r="AY15" s="40" t="n">
        <v>0</v>
      </c>
      <c r="AZ15" s="40" t="n">
        <v>0</v>
      </c>
    </row>
    <row r="16" customFormat="false" ht="15" hidden="false" customHeight="true" outlineLevel="0" collapsed="false">
      <c r="A16" s="13" t="s">
        <v>77</v>
      </c>
      <c r="C16" s="41" t="n">
        <f aca="false">SUM(D16:AZ16)</f>
        <v>2.27508285062478</v>
      </c>
      <c r="D16" s="40" t="n">
        <f aca="false">Inputs!$B$36*(Inputs!$B$196/(Inputs!$B$194+Inputs!$B$195+Inputs!$B$196))*Inputs!$B$5</f>
        <v>1.91106959452482</v>
      </c>
      <c r="E16" s="40" t="n">
        <f aca="false">Inputs!$C$36*(Inputs!$B$196/(Inputs!$B$194+Inputs!$B$195+Inputs!$B$196))*Inputs!$B$5</f>
        <v>0.364013256099965</v>
      </c>
      <c r="F16" s="40" t="n">
        <f aca="false">Inputs!$D$36*(Inputs!$B$196/(Inputs!$B$194+Inputs!$B$195+Inputs!$B$196))*Inputs!$B$5</f>
        <v>0</v>
      </c>
      <c r="G16" s="40" t="n">
        <v>0</v>
      </c>
      <c r="H16" s="40" t="n">
        <v>0</v>
      </c>
      <c r="I16" s="40" t="n">
        <v>0</v>
      </c>
      <c r="J16" s="40" t="n">
        <v>0</v>
      </c>
      <c r="K16" s="40" t="n">
        <v>0</v>
      </c>
      <c r="L16" s="40" t="n">
        <v>0</v>
      </c>
      <c r="M16" s="40" t="n">
        <v>0</v>
      </c>
      <c r="N16" s="40" t="n">
        <v>0</v>
      </c>
      <c r="O16" s="40" t="n">
        <v>0</v>
      </c>
      <c r="P16" s="40" t="n">
        <v>0</v>
      </c>
      <c r="Q16" s="40" t="n">
        <v>0</v>
      </c>
      <c r="R16" s="40" t="n">
        <v>0</v>
      </c>
      <c r="S16" s="40" t="n">
        <v>0</v>
      </c>
      <c r="T16" s="40" t="n">
        <v>0</v>
      </c>
      <c r="U16" s="40" t="n">
        <v>0</v>
      </c>
      <c r="V16" s="40" t="n">
        <v>0</v>
      </c>
      <c r="W16" s="40" t="n">
        <v>0</v>
      </c>
      <c r="X16" s="40" t="n">
        <v>0</v>
      </c>
      <c r="Y16" s="40" t="n">
        <v>0</v>
      </c>
      <c r="Z16" s="40" t="n">
        <v>0</v>
      </c>
      <c r="AA16" s="40" t="n">
        <v>0</v>
      </c>
      <c r="AB16" s="40" t="n">
        <v>0</v>
      </c>
      <c r="AC16" s="40" t="n">
        <v>0</v>
      </c>
      <c r="AD16" s="40" t="n">
        <v>0</v>
      </c>
      <c r="AE16" s="40" t="n">
        <v>0</v>
      </c>
      <c r="AF16" s="40" t="n">
        <v>0</v>
      </c>
      <c r="AG16" s="40" t="n">
        <v>0</v>
      </c>
      <c r="AH16" s="40" t="n">
        <v>0</v>
      </c>
      <c r="AI16" s="40" t="n">
        <v>0</v>
      </c>
      <c r="AJ16" s="40" t="n">
        <v>0</v>
      </c>
      <c r="AK16" s="40" t="n">
        <v>0</v>
      </c>
      <c r="AL16" s="40" t="n">
        <v>0</v>
      </c>
      <c r="AM16" s="40" t="n">
        <v>0</v>
      </c>
      <c r="AN16" s="40" t="n">
        <v>0</v>
      </c>
      <c r="AO16" s="40" t="n">
        <v>0</v>
      </c>
      <c r="AP16" s="40" t="n">
        <v>0</v>
      </c>
      <c r="AQ16" s="40" t="n">
        <v>0</v>
      </c>
      <c r="AR16" s="40" t="n">
        <v>0</v>
      </c>
      <c r="AS16" s="40" t="n">
        <v>0</v>
      </c>
      <c r="AT16" s="40" t="n">
        <v>0</v>
      </c>
      <c r="AU16" s="40" t="n">
        <v>0</v>
      </c>
      <c r="AV16" s="40" t="n">
        <v>0</v>
      </c>
      <c r="AW16" s="40" t="n">
        <v>0</v>
      </c>
      <c r="AX16" s="40" t="n">
        <v>0</v>
      </c>
      <c r="AY16" s="40" t="n">
        <v>0</v>
      </c>
      <c r="AZ16" s="40" t="n">
        <v>0</v>
      </c>
    </row>
    <row r="17" customFormat="false" ht="15" hidden="false" customHeight="true" outlineLevel="0" collapsed="false">
      <c r="A17" s="13" t="s">
        <v>78</v>
      </c>
      <c r="C17" s="41" t="n">
        <f aca="false">SUM(D17:AZ17)</f>
        <v>3.1851159908747</v>
      </c>
      <c r="D17" s="40" t="n">
        <f aca="false">Inputs!$B$37*(Inputs!$B$196/(Inputs!$B$194+Inputs!$B$195+Inputs!$B$196))*Inputs!$B$5</f>
        <v>0</v>
      </c>
      <c r="E17" s="40" t="n">
        <f aca="false">Inputs!$C$37*(Inputs!$B$196/(Inputs!$B$194+Inputs!$B$195+Inputs!$B$196))*Inputs!$B$5</f>
        <v>0.364013256099965</v>
      </c>
      <c r="F17" s="40" t="n">
        <f aca="false">Inputs!$D$37*(Inputs!$B$196/(Inputs!$B$194+Inputs!$B$195+Inputs!$B$196))*Inputs!$B$5</f>
        <v>2.82110273477473</v>
      </c>
      <c r="G17" s="40" t="n">
        <v>0</v>
      </c>
      <c r="H17" s="40" t="n">
        <v>0</v>
      </c>
      <c r="I17" s="40" t="n">
        <v>0</v>
      </c>
      <c r="J17" s="40" t="n">
        <v>0</v>
      </c>
      <c r="K17" s="40" t="n">
        <v>0</v>
      </c>
      <c r="L17" s="40" t="n">
        <v>0</v>
      </c>
      <c r="M17" s="40" t="n">
        <v>0</v>
      </c>
      <c r="N17" s="40" t="n">
        <v>0</v>
      </c>
      <c r="O17" s="40" t="n">
        <v>0</v>
      </c>
      <c r="P17" s="40" t="n">
        <v>0</v>
      </c>
      <c r="Q17" s="40" t="n">
        <v>0</v>
      </c>
      <c r="R17" s="40" t="n">
        <v>0</v>
      </c>
      <c r="S17" s="40" t="n">
        <v>0</v>
      </c>
      <c r="T17" s="40" t="n">
        <v>0</v>
      </c>
      <c r="U17" s="40" t="n">
        <v>0</v>
      </c>
      <c r="V17" s="40" t="n">
        <v>0</v>
      </c>
      <c r="W17" s="40" t="n">
        <v>0</v>
      </c>
      <c r="X17" s="40" t="n">
        <v>0</v>
      </c>
      <c r="Y17" s="40" t="n">
        <v>0</v>
      </c>
      <c r="Z17" s="40" t="n">
        <v>0</v>
      </c>
      <c r="AA17" s="40" t="n">
        <v>0</v>
      </c>
      <c r="AB17" s="40" t="n">
        <v>0</v>
      </c>
      <c r="AC17" s="40" t="n">
        <v>0</v>
      </c>
      <c r="AD17" s="40" t="n">
        <v>0</v>
      </c>
      <c r="AE17" s="40" t="n">
        <v>0</v>
      </c>
      <c r="AF17" s="40" t="n">
        <v>0</v>
      </c>
      <c r="AG17" s="40" t="n">
        <v>0</v>
      </c>
      <c r="AH17" s="40" t="n">
        <v>0</v>
      </c>
      <c r="AI17" s="40" t="n">
        <v>0</v>
      </c>
      <c r="AJ17" s="40" t="n">
        <v>0</v>
      </c>
      <c r="AK17" s="40" t="n">
        <v>0</v>
      </c>
      <c r="AL17" s="40" t="n">
        <v>0</v>
      </c>
      <c r="AM17" s="40" t="n">
        <v>0</v>
      </c>
      <c r="AN17" s="40" t="n">
        <v>0</v>
      </c>
      <c r="AO17" s="40" t="n">
        <v>0</v>
      </c>
      <c r="AP17" s="40" t="n">
        <v>0</v>
      </c>
      <c r="AQ17" s="40" t="n">
        <v>0</v>
      </c>
      <c r="AR17" s="40" t="n">
        <v>0</v>
      </c>
      <c r="AS17" s="40" t="n">
        <v>0</v>
      </c>
      <c r="AT17" s="40" t="n">
        <v>0</v>
      </c>
      <c r="AU17" s="40" t="n">
        <v>0</v>
      </c>
      <c r="AV17" s="40" t="n">
        <v>0</v>
      </c>
      <c r="AW17" s="40" t="n">
        <v>0</v>
      </c>
      <c r="AX17" s="40" t="n">
        <v>0</v>
      </c>
      <c r="AY17" s="40" t="n">
        <v>0</v>
      </c>
      <c r="AZ17" s="40" t="n">
        <v>0</v>
      </c>
    </row>
    <row r="18" customFormat="false" ht="15" hidden="false" customHeight="true" outlineLevel="0" collapsed="false">
      <c r="A18" s="13" t="s">
        <v>79</v>
      </c>
      <c r="C18" s="41" t="n">
        <f aca="false">SUM(D18:AZ18)</f>
        <v>2.27508285062478</v>
      </c>
      <c r="D18" s="40" t="n">
        <f aca="false">Inputs!$B$38*(Inputs!$B$196/(Inputs!$B$194+Inputs!$B$195+Inputs!$B$196))*Inputs!$B$5</f>
        <v>0.409514913112461</v>
      </c>
      <c r="E18" s="40" t="n">
        <f aca="false">Inputs!$C$38*(Inputs!$B$196/(Inputs!$B$194+Inputs!$B$195+Inputs!$B$196))*Inputs!$B$5</f>
        <v>1.0010364542749</v>
      </c>
      <c r="F18" s="40" t="n">
        <f aca="false">Inputs!$D$38*(Inputs!$B$196/(Inputs!$B$194+Inputs!$B$195+Inputs!$B$196))*Inputs!$B$5</f>
        <v>0.864531483237418</v>
      </c>
      <c r="G18" s="40" t="n">
        <v>0</v>
      </c>
      <c r="H18" s="40" t="n">
        <v>0</v>
      </c>
      <c r="I18" s="40" t="n">
        <v>0</v>
      </c>
      <c r="J18" s="40" t="n">
        <v>0</v>
      </c>
      <c r="K18" s="40" t="n">
        <v>0</v>
      </c>
      <c r="L18" s="40" t="n">
        <v>0</v>
      </c>
      <c r="M18" s="40" t="n">
        <v>0</v>
      </c>
      <c r="N18" s="40" t="n">
        <v>0</v>
      </c>
      <c r="O18" s="40" t="n">
        <v>0</v>
      </c>
      <c r="P18" s="40" t="n">
        <v>0</v>
      </c>
      <c r="Q18" s="40" t="n">
        <v>0</v>
      </c>
      <c r="R18" s="40" t="n">
        <v>0</v>
      </c>
      <c r="S18" s="40" t="n">
        <v>0</v>
      </c>
      <c r="T18" s="40" t="n">
        <v>0</v>
      </c>
      <c r="U18" s="40" t="n">
        <v>0</v>
      </c>
      <c r="V18" s="40" t="n">
        <v>0</v>
      </c>
      <c r="W18" s="40" t="n">
        <v>0</v>
      </c>
      <c r="X18" s="40" t="n">
        <v>0</v>
      </c>
      <c r="Y18" s="40" t="n">
        <v>0</v>
      </c>
      <c r="Z18" s="40" t="n">
        <v>0</v>
      </c>
      <c r="AA18" s="40" t="n">
        <v>0</v>
      </c>
      <c r="AB18" s="40" t="n">
        <v>0</v>
      </c>
      <c r="AC18" s="40" t="n">
        <v>0</v>
      </c>
      <c r="AD18" s="40" t="n">
        <v>0</v>
      </c>
      <c r="AE18" s="40" t="n">
        <v>0</v>
      </c>
      <c r="AF18" s="40" t="n">
        <v>0</v>
      </c>
      <c r="AG18" s="40" t="n">
        <v>0</v>
      </c>
      <c r="AH18" s="40" t="n">
        <v>0</v>
      </c>
      <c r="AI18" s="40" t="n">
        <v>0</v>
      </c>
      <c r="AJ18" s="40" t="n">
        <v>0</v>
      </c>
      <c r="AK18" s="40" t="n">
        <v>0</v>
      </c>
      <c r="AL18" s="40" t="n">
        <v>0</v>
      </c>
      <c r="AM18" s="40" t="n">
        <v>0</v>
      </c>
      <c r="AN18" s="40" t="n">
        <v>0</v>
      </c>
      <c r="AO18" s="40" t="n">
        <v>0</v>
      </c>
      <c r="AP18" s="40" t="n">
        <v>0</v>
      </c>
      <c r="AQ18" s="40" t="n">
        <v>0</v>
      </c>
      <c r="AR18" s="40" t="n">
        <v>0</v>
      </c>
      <c r="AS18" s="40" t="n">
        <v>0</v>
      </c>
      <c r="AT18" s="40" t="n">
        <v>0</v>
      </c>
      <c r="AU18" s="40" t="n">
        <v>0</v>
      </c>
      <c r="AV18" s="40" t="n">
        <v>0</v>
      </c>
      <c r="AW18" s="40" t="n">
        <v>0</v>
      </c>
      <c r="AX18" s="40" t="n">
        <v>0</v>
      </c>
      <c r="AY18" s="40" t="n">
        <v>0</v>
      </c>
      <c r="AZ18" s="40" t="n">
        <v>0</v>
      </c>
    </row>
    <row r="19" customFormat="false" ht="15" hidden="false" customHeight="true" outlineLevel="0" collapsed="false">
      <c r="A19" s="6" t="s">
        <v>588</v>
      </c>
      <c r="C19" s="44" t="n">
        <f aca="false">SUM(D19:AZ19)</f>
        <v>162.222129706995</v>
      </c>
      <c r="D19" s="44" t="n">
        <f aca="false">SUM(D6:D13)</f>
        <v>13.4549766403485</v>
      </c>
      <c r="E19" s="44" t="n">
        <f aca="false">SUM(E6:E13)</f>
        <v>101.170612072402</v>
      </c>
      <c r="F19" s="44" t="n">
        <f aca="false">SUM(F6:F13)</f>
        <v>47.596540994245</v>
      </c>
      <c r="G19" s="44" t="n">
        <f aca="false">SUM(G6:G13)</f>
        <v>0</v>
      </c>
      <c r="H19" s="44" t="n">
        <f aca="false">SUM(H6:H13)</f>
        <v>0</v>
      </c>
      <c r="I19" s="44" t="n">
        <f aca="false">SUM(I6:I13)</f>
        <v>0</v>
      </c>
      <c r="J19" s="44" t="n">
        <f aca="false">SUM(J6:J13)</f>
        <v>0</v>
      </c>
      <c r="K19" s="44" t="n">
        <f aca="false">SUM(K6:K13)</f>
        <v>0</v>
      </c>
      <c r="L19" s="44" t="n">
        <f aca="false">SUM(L6:L13)</f>
        <v>0</v>
      </c>
      <c r="M19" s="44" t="n">
        <f aca="false">SUM(M6:M13)</f>
        <v>0</v>
      </c>
      <c r="N19" s="44" t="n">
        <f aca="false">SUM(N6:N13)</f>
        <v>0</v>
      </c>
      <c r="O19" s="44" t="n">
        <f aca="false">SUM(O6:O13)</f>
        <v>0</v>
      </c>
      <c r="P19" s="44" t="n">
        <f aca="false">SUM(P6:P13)</f>
        <v>0</v>
      </c>
      <c r="Q19" s="44" t="n">
        <f aca="false">SUM(Q6:Q13)</f>
        <v>0</v>
      </c>
      <c r="R19" s="44" t="n">
        <f aca="false">SUM(R6:R13)</f>
        <v>0</v>
      </c>
      <c r="S19" s="44" t="n">
        <f aca="false">SUM(S6:S13)</f>
        <v>0</v>
      </c>
      <c r="T19" s="44" t="n">
        <f aca="false">SUM(T6:T13)</f>
        <v>0</v>
      </c>
      <c r="U19" s="44" t="n">
        <f aca="false">SUM(U6:U13)</f>
        <v>0</v>
      </c>
      <c r="V19" s="44" t="n">
        <f aca="false">SUM(V6:V13)</f>
        <v>0</v>
      </c>
      <c r="W19" s="44" t="n">
        <f aca="false">SUM(W6:W13)</f>
        <v>0</v>
      </c>
      <c r="X19" s="44" t="n">
        <f aca="false">SUM(X6:X13)</f>
        <v>0</v>
      </c>
      <c r="Y19" s="44" t="n">
        <f aca="false">SUM(Y6:Y13)</f>
        <v>0</v>
      </c>
      <c r="Z19" s="44" t="n">
        <f aca="false">SUM(Z6:Z13)</f>
        <v>0</v>
      </c>
      <c r="AA19" s="44" t="n">
        <f aca="false">SUM(AA6:AA13)</f>
        <v>0</v>
      </c>
      <c r="AB19" s="44" t="n">
        <f aca="false">SUM(AB6:AB13)</f>
        <v>0</v>
      </c>
      <c r="AC19" s="44" t="n">
        <f aca="false">SUM(AC6:AC13)</f>
        <v>0</v>
      </c>
      <c r="AD19" s="44" t="n">
        <f aca="false">SUM(AD6:AD13)</f>
        <v>0</v>
      </c>
      <c r="AE19" s="44" t="n">
        <f aca="false">SUM(AE6:AE13)</f>
        <v>0</v>
      </c>
      <c r="AF19" s="44" t="n">
        <f aca="false">SUM(AF6:AF13)</f>
        <v>0</v>
      </c>
      <c r="AG19" s="44" t="n">
        <f aca="false">SUM(AG6:AG13)</f>
        <v>0</v>
      </c>
      <c r="AH19" s="44" t="n">
        <f aca="false">SUM(AH6:AH13)</f>
        <v>0</v>
      </c>
      <c r="AI19" s="44" t="n">
        <f aca="false">SUM(AI6:AI13)</f>
        <v>0</v>
      </c>
      <c r="AJ19" s="44" t="n">
        <f aca="false">SUM(AJ6:AJ13)</f>
        <v>0</v>
      </c>
      <c r="AK19" s="44" t="n">
        <f aca="false">SUM(AK6:AK13)</f>
        <v>0</v>
      </c>
      <c r="AL19" s="44" t="n">
        <f aca="false">SUM(AL6:AL13)</f>
        <v>0</v>
      </c>
      <c r="AM19" s="44" t="n">
        <f aca="false">SUM(AM6:AM13)</f>
        <v>0</v>
      </c>
      <c r="AN19" s="44" t="n">
        <f aca="false">SUM(AN6:AN13)</f>
        <v>0</v>
      </c>
      <c r="AO19" s="44" t="n">
        <f aca="false">SUM(AO6:AO13)</f>
        <v>0</v>
      </c>
      <c r="AP19" s="44" t="n">
        <f aca="false">SUM(AP6:AP13)</f>
        <v>0</v>
      </c>
      <c r="AQ19" s="44" t="n">
        <f aca="false">SUM(AQ6:AQ13)</f>
        <v>0</v>
      </c>
      <c r="AR19" s="44" t="n">
        <f aca="false">SUM(AR6:AR13)</f>
        <v>0</v>
      </c>
      <c r="AS19" s="44" t="n">
        <f aca="false">SUM(AS6:AS13)</f>
        <v>0</v>
      </c>
      <c r="AT19" s="44" t="n">
        <f aca="false">SUM(AT6:AT13)</f>
        <v>0</v>
      </c>
      <c r="AU19" s="44" t="n">
        <f aca="false">SUM(AU6:AU13)</f>
        <v>0</v>
      </c>
      <c r="AV19" s="44" t="n">
        <f aca="false">SUM(AV6:AV13)</f>
        <v>0</v>
      </c>
      <c r="AW19" s="44" t="n">
        <f aca="false">SUM(AW6:AW13)</f>
        <v>0</v>
      </c>
      <c r="AX19" s="44" t="n">
        <f aca="false">SUM(AX6:AX13)</f>
        <v>0</v>
      </c>
      <c r="AY19" s="44" t="n">
        <f aca="false">SUM(AY6:AY13)</f>
        <v>0</v>
      </c>
      <c r="AZ19" s="44" t="n">
        <f aca="false">SUM(AZ6:AZ13)</f>
        <v>0</v>
      </c>
    </row>
    <row r="20" customFormat="false" ht="15" hidden="false" customHeight="true" outlineLevel="0" collapsed="false">
      <c r="A20" s="6" t="s">
        <v>589</v>
      </c>
      <c r="C20" s="21" t="n">
        <f aca="false">SUM(D20:AZ20)</f>
        <v>18.2006628049983</v>
      </c>
      <c r="D20" s="21" t="n">
        <f aca="false">SUM(D14:D18)</f>
        <v>8.46330820432419</v>
      </c>
      <c r="E20" s="21" t="n">
        <f aca="false">SUM(E14:E18)</f>
        <v>5.00518227137452</v>
      </c>
      <c r="F20" s="21" t="n">
        <f aca="false">SUM(F14:F18)</f>
        <v>4.73217232929955</v>
      </c>
      <c r="G20" s="21" t="n">
        <f aca="false">SUM(G14:G18)</f>
        <v>0</v>
      </c>
      <c r="H20" s="21" t="n">
        <f aca="false">SUM(H14:H18)</f>
        <v>0</v>
      </c>
      <c r="I20" s="21" t="n">
        <f aca="false">SUM(I14:I18)</f>
        <v>0</v>
      </c>
      <c r="J20" s="21" t="n">
        <f aca="false">SUM(J14:J18)</f>
        <v>0</v>
      </c>
      <c r="K20" s="21" t="n">
        <f aca="false">SUM(K14:K18)</f>
        <v>0</v>
      </c>
      <c r="L20" s="21" t="n">
        <f aca="false">SUM(L14:L18)</f>
        <v>0</v>
      </c>
      <c r="M20" s="21" t="n">
        <f aca="false">SUM(M14:M18)</f>
        <v>0</v>
      </c>
      <c r="N20" s="21" t="n">
        <f aca="false">SUM(N14:N18)</f>
        <v>0</v>
      </c>
      <c r="O20" s="21" t="n">
        <f aca="false">SUM(O14:O18)</f>
        <v>0</v>
      </c>
      <c r="P20" s="21" t="n">
        <f aca="false">SUM(P14:P18)</f>
        <v>0</v>
      </c>
      <c r="Q20" s="21" t="n">
        <f aca="false">SUM(Q14:Q18)</f>
        <v>0</v>
      </c>
      <c r="R20" s="21" t="n">
        <f aca="false">SUM(R14:R18)</f>
        <v>0</v>
      </c>
      <c r="S20" s="21" t="n">
        <f aca="false">SUM(S14:S18)</f>
        <v>0</v>
      </c>
      <c r="T20" s="21" t="n">
        <f aca="false">SUM(T14:T18)</f>
        <v>0</v>
      </c>
      <c r="U20" s="21" t="n">
        <f aca="false">SUM(U14:U18)</f>
        <v>0</v>
      </c>
      <c r="V20" s="21" t="n">
        <f aca="false">SUM(V14:V18)</f>
        <v>0</v>
      </c>
      <c r="W20" s="21" t="n">
        <f aca="false">SUM(W14:W18)</f>
        <v>0</v>
      </c>
      <c r="X20" s="21" t="n">
        <f aca="false">SUM(X14:X18)</f>
        <v>0</v>
      </c>
      <c r="Y20" s="21" t="n">
        <f aca="false">SUM(Y14:Y18)</f>
        <v>0</v>
      </c>
      <c r="Z20" s="21" t="n">
        <f aca="false">SUM(Z14:Z18)</f>
        <v>0</v>
      </c>
      <c r="AA20" s="21" t="n">
        <f aca="false">SUM(AA14:AA18)</f>
        <v>0</v>
      </c>
      <c r="AB20" s="21" t="n">
        <f aca="false">SUM(AB14:AB18)</f>
        <v>0</v>
      </c>
      <c r="AC20" s="21" t="n">
        <f aca="false">SUM(AC14:AC18)</f>
        <v>0</v>
      </c>
      <c r="AD20" s="21" t="n">
        <f aca="false">SUM(AD14:AD18)</f>
        <v>0</v>
      </c>
      <c r="AE20" s="21" t="n">
        <f aca="false">SUM(AE14:AE18)</f>
        <v>0</v>
      </c>
      <c r="AF20" s="21" t="n">
        <f aca="false">SUM(AF14:AF18)</f>
        <v>0</v>
      </c>
      <c r="AG20" s="21" t="n">
        <f aca="false">SUM(AG14:AG18)</f>
        <v>0</v>
      </c>
      <c r="AH20" s="21" t="n">
        <f aca="false">SUM(AH14:AH18)</f>
        <v>0</v>
      </c>
      <c r="AI20" s="21" t="n">
        <f aca="false">SUM(AI14:AI18)</f>
        <v>0</v>
      </c>
      <c r="AJ20" s="21" t="n">
        <f aca="false">SUM(AJ14:AJ18)</f>
        <v>0</v>
      </c>
      <c r="AK20" s="21" t="n">
        <f aca="false">SUM(AK14:AK18)</f>
        <v>0</v>
      </c>
      <c r="AL20" s="21" t="n">
        <f aca="false">SUM(AL14:AL18)</f>
        <v>0</v>
      </c>
      <c r="AM20" s="21" t="n">
        <f aca="false">SUM(AM14:AM18)</f>
        <v>0</v>
      </c>
      <c r="AN20" s="21" t="n">
        <f aca="false">SUM(AN14:AN18)</f>
        <v>0</v>
      </c>
      <c r="AO20" s="21" t="n">
        <f aca="false">SUM(AO14:AO18)</f>
        <v>0</v>
      </c>
      <c r="AP20" s="21" t="n">
        <f aca="false">SUM(AP14:AP18)</f>
        <v>0</v>
      </c>
      <c r="AQ20" s="21" t="n">
        <f aca="false">SUM(AQ14:AQ18)</f>
        <v>0</v>
      </c>
      <c r="AR20" s="21" t="n">
        <f aca="false">SUM(AR14:AR18)</f>
        <v>0</v>
      </c>
      <c r="AS20" s="21" t="n">
        <f aca="false">SUM(AS14:AS18)</f>
        <v>0</v>
      </c>
      <c r="AT20" s="21" t="n">
        <f aca="false">SUM(AT14:AT18)</f>
        <v>0</v>
      </c>
      <c r="AU20" s="21" t="n">
        <f aca="false">SUM(AU14:AU18)</f>
        <v>0</v>
      </c>
      <c r="AV20" s="21" t="n">
        <f aca="false">SUM(AV14:AV18)</f>
        <v>0</v>
      </c>
      <c r="AW20" s="21" t="n">
        <f aca="false">SUM(AW14:AW18)</f>
        <v>0</v>
      </c>
      <c r="AX20" s="21" t="n">
        <f aca="false">SUM(AX14:AX18)</f>
        <v>0</v>
      </c>
      <c r="AY20" s="21" t="n">
        <f aca="false">SUM(AY14:AY18)</f>
        <v>0</v>
      </c>
      <c r="AZ20" s="21" t="n">
        <f aca="false">SUM(AZ14:AZ18)</f>
        <v>0</v>
      </c>
    </row>
    <row r="21" customFormat="false" ht="15" hidden="false" customHeight="true" outlineLevel="0" collapsed="false">
      <c r="A21" s="6" t="s">
        <v>590</v>
      </c>
      <c r="C21" s="21" t="n">
        <f aca="false">SUM(D21:AZ21)</f>
        <v>19.83</v>
      </c>
      <c r="D21" s="40" t="n">
        <v>0</v>
      </c>
      <c r="E21" s="40" t="n">
        <v>0</v>
      </c>
      <c r="F21" s="40" t="n">
        <f aca="false">Inputs!$B$45*Inputs!$B$46*Inputs!$B$47</f>
        <v>9.915</v>
      </c>
      <c r="G21" s="40" t="n">
        <f aca="false">Inputs!$B$45*Inputs!$B$46*(1-Inputs!$B$47)</f>
        <v>9.915</v>
      </c>
      <c r="H21" s="40" t="n">
        <v>0</v>
      </c>
      <c r="I21" s="40" t="n">
        <v>0</v>
      </c>
      <c r="J21" s="40" t="n">
        <v>0</v>
      </c>
      <c r="K21" s="40" t="n">
        <v>0</v>
      </c>
      <c r="L21" s="40" t="n">
        <v>0</v>
      </c>
      <c r="M21" s="40" t="n">
        <v>0</v>
      </c>
      <c r="N21" s="40" t="n">
        <v>0</v>
      </c>
      <c r="O21" s="40" t="n">
        <v>0</v>
      </c>
      <c r="P21" s="40" t="n">
        <v>0</v>
      </c>
      <c r="Q21" s="40" t="n">
        <v>0</v>
      </c>
      <c r="R21" s="40" t="n">
        <v>0</v>
      </c>
      <c r="S21" s="40" t="n">
        <v>0</v>
      </c>
      <c r="T21" s="40" t="n">
        <v>0</v>
      </c>
      <c r="U21" s="40" t="n">
        <v>0</v>
      </c>
      <c r="V21" s="40" t="n">
        <v>0</v>
      </c>
      <c r="W21" s="40" t="n">
        <v>0</v>
      </c>
      <c r="X21" s="40" t="n">
        <v>0</v>
      </c>
      <c r="Y21" s="40" t="n">
        <v>0</v>
      </c>
      <c r="Z21" s="40" t="n">
        <v>0</v>
      </c>
      <c r="AA21" s="40" t="n">
        <v>0</v>
      </c>
      <c r="AB21" s="40" t="n">
        <v>0</v>
      </c>
      <c r="AC21" s="40" t="n">
        <v>0</v>
      </c>
      <c r="AD21" s="40" t="n">
        <v>0</v>
      </c>
      <c r="AE21" s="40" t="n">
        <v>0</v>
      </c>
      <c r="AF21" s="40" t="n">
        <v>0</v>
      </c>
      <c r="AG21" s="40" t="n">
        <v>0</v>
      </c>
      <c r="AH21" s="40" t="n">
        <v>0</v>
      </c>
      <c r="AI21" s="40" t="n">
        <v>0</v>
      </c>
      <c r="AJ21" s="40" t="n">
        <v>0</v>
      </c>
      <c r="AK21" s="40" t="n">
        <v>0</v>
      </c>
      <c r="AL21" s="40" t="n">
        <v>0</v>
      </c>
      <c r="AM21" s="40" t="n">
        <v>0</v>
      </c>
      <c r="AN21" s="40" t="n">
        <v>0</v>
      </c>
      <c r="AO21" s="40" t="n">
        <v>0</v>
      </c>
      <c r="AP21" s="40" t="n">
        <v>0</v>
      </c>
      <c r="AQ21" s="40" t="n">
        <v>0</v>
      </c>
      <c r="AR21" s="40" t="n">
        <v>0</v>
      </c>
      <c r="AS21" s="40" t="n">
        <v>0</v>
      </c>
      <c r="AT21" s="40" t="n">
        <v>0</v>
      </c>
      <c r="AU21" s="40" t="n">
        <v>0</v>
      </c>
      <c r="AV21" s="40" t="n">
        <v>0</v>
      </c>
      <c r="AW21" s="40" t="n">
        <v>0</v>
      </c>
      <c r="AX21" s="40" t="n">
        <v>0</v>
      </c>
      <c r="AY21" s="40" t="n">
        <v>0</v>
      </c>
      <c r="AZ21" s="40" t="n">
        <v>0</v>
      </c>
    </row>
    <row r="22" customFormat="false" ht="15" hidden="false" customHeight="true" outlineLevel="0" collapsed="false">
      <c r="A22" s="6" t="s">
        <v>591</v>
      </c>
      <c r="C22" s="44" t="n">
        <f aca="false">SUM(D22:AZ22)</f>
        <v>200.252792511993</v>
      </c>
      <c r="D22" s="44" t="n">
        <f aca="false">D19+D20+D21</f>
        <v>21.9182848446727</v>
      </c>
      <c r="E22" s="44" t="n">
        <f aca="false">E19+E20+E21</f>
        <v>106.175794343776</v>
      </c>
      <c r="F22" s="44" t="n">
        <f aca="false">F19+F20+F21</f>
        <v>62.2437133235446</v>
      </c>
      <c r="G22" s="44" t="n">
        <f aca="false">G19+G20+G21</f>
        <v>9.915</v>
      </c>
      <c r="H22" s="44" t="n">
        <f aca="false">H19+H20+H21</f>
        <v>0</v>
      </c>
      <c r="I22" s="44" t="n">
        <f aca="false">I19+I20+I21</f>
        <v>0</v>
      </c>
      <c r="J22" s="44" t="n">
        <f aca="false">J19+J20+J21</f>
        <v>0</v>
      </c>
      <c r="K22" s="44" t="n">
        <f aca="false">K19+K20+K21</f>
        <v>0</v>
      </c>
      <c r="L22" s="44" t="n">
        <f aca="false">L19+L20+L21</f>
        <v>0</v>
      </c>
      <c r="M22" s="44" t="n">
        <f aca="false">M19+M20+M21</f>
        <v>0</v>
      </c>
      <c r="N22" s="44" t="n">
        <f aca="false">N19+N20+N21</f>
        <v>0</v>
      </c>
      <c r="O22" s="44" t="n">
        <f aca="false">O19+O20+O21</f>
        <v>0</v>
      </c>
      <c r="P22" s="44" t="n">
        <f aca="false">P19+P20+P21</f>
        <v>0</v>
      </c>
      <c r="Q22" s="44" t="n">
        <f aca="false">Q19+Q20+Q21</f>
        <v>0</v>
      </c>
      <c r="R22" s="44" t="n">
        <f aca="false">R19+R20+R21</f>
        <v>0</v>
      </c>
      <c r="S22" s="44" t="n">
        <f aca="false">S19+S20+S21</f>
        <v>0</v>
      </c>
      <c r="T22" s="44" t="n">
        <f aca="false">T19+T20+T21</f>
        <v>0</v>
      </c>
      <c r="U22" s="44" t="n">
        <f aca="false">U19+U20+U21</f>
        <v>0</v>
      </c>
      <c r="V22" s="44" t="n">
        <f aca="false">V19+V20+V21</f>
        <v>0</v>
      </c>
      <c r="W22" s="44" t="n">
        <f aca="false">W19+W20+W21</f>
        <v>0</v>
      </c>
      <c r="X22" s="44" t="n">
        <f aca="false">X19+X20+X21</f>
        <v>0</v>
      </c>
      <c r="Y22" s="44" t="n">
        <f aca="false">Y19+Y20+Y21</f>
        <v>0</v>
      </c>
      <c r="Z22" s="44" t="n">
        <f aca="false">Z19+Z20+Z21</f>
        <v>0</v>
      </c>
      <c r="AA22" s="44" t="n">
        <f aca="false">AA19+AA20+AA21</f>
        <v>0</v>
      </c>
      <c r="AB22" s="44" t="n">
        <f aca="false">AB19+AB20+AB21</f>
        <v>0</v>
      </c>
      <c r="AC22" s="44" t="n">
        <f aca="false">AC19+AC20+AC21</f>
        <v>0</v>
      </c>
      <c r="AD22" s="44" t="n">
        <f aca="false">AD19+AD20+AD21</f>
        <v>0</v>
      </c>
      <c r="AE22" s="44" t="n">
        <f aca="false">AE19+AE20+AE21</f>
        <v>0</v>
      </c>
      <c r="AF22" s="44" t="n">
        <f aca="false">AF19+AF20+AF21</f>
        <v>0</v>
      </c>
      <c r="AG22" s="44" t="n">
        <f aca="false">AG19+AG20+AG21</f>
        <v>0</v>
      </c>
      <c r="AH22" s="44" t="n">
        <f aca="false">AH19+AH20+AH21</f>
        <v>0</v>
      </c>
      <c r="AI22" s="44" t="n">
        <f aca="false">AI19+AI20+AI21</f>
        <v>0</v>
      </c>
      <c r="AJ22" s="44" t="n">
        <f aca="false">AJ19+AJ20+AJ21</f>
        <v>0</v>
      </c>
      <c r="AK22" s="44" t="n">
        <f aca="false">AK19+AK20+AK21</f>
        <v>0</v>
      </c>
      <c r="AL22" s="44" t="n">
        <f aca="false">AL19+AL20+AL21</f>
        <v>0</v>
      </c>
      <c r="AM22" s="44" t="n">
        <f aca="false">AM19+AM20+AM21</f>
        <v>0</v>
      </c>
      <c r="AN22" s="44" t="n">
        <f aca="false">AN19+AN20+AN21</f>
        <v>0</v>
      </c>
      <c r="AO22" s="44" t="n">
        <f aca="false">AO19+AO20+AO21</f>
        <v>0</v>
      </c>
      <c r="AP22" s="44" t="n">
        <f aca="false">AP19+AP20+AP21</f>
        <v>0</v>
      </c>
      <c r="AQ22" s="44" t="n">
        <f aca="false">AQ19+AQ20+AQ21</f>
        <v>0</v>
      </c>
      <c r="AR22" s="44" t="n">
        <f aca="false">AR19+AR20+AR21</f>
        <v>0</v>
      </c>
      <c r="AS22" s="44" t="n">
        <f aca="false">AS19+AS20+AS21</f>
        <v>0</v>
      </c>
      <c r="AT22" s="44" t="n">
        <f aca="false">AT19+AT20+AT21</f>
        <v>0</v>
      </c>
      <c r="AU22" s="44" t="n">
        <f aca="false">AU19+AU20+AU21</f>
        <v>0</v>
      </c>
      <c r="AV22" s="44" t="n">
        <f aca="false">AV19+AV20+AV21</f>
        <v>0</v>
      </c>
      <c r="AW22" s="44" t="n">
        <f aca="false">AW19+AW20+AW21</f>
        <v>0</v>
      </c>
      <c r="AX22" s="44" t="n">
        <f aca="false">AX19+AX20+AX21</f>
        <v>0</v>
      </c>
      <c r="AY22" s="44" t="n">
        <f aca="false">AY19+AY20+AY21</f>
        <v>0</v>
      </c>
      <c r="AZ22" s="44" t="n">
        <f aca="false">AZ19+AZ20+AZ21</f>
        <v>0</v>
      </c>
    </row>
    <row r="24" customFormat="false" ht="15" hidden="false" customHeight="true" outlineLevel="0" collapsed="false">
      <c r="A24" s="11" t="s">
        <v>592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</row>
    <row r="25" customFormat="false" ht="15" hidden="false" customHeight="true" outlineLevel="0" collapsed="false">
      <c r="A25" s="13" t="s">
        <v>234</v>
      </c>
      <c r="B25" s="15" t="s">
        <v>633</v>
      </c>
      <c r="C25" s="41" t="n">
        <f aca="false">SUM(D25:AZ25)</f>
        <v>3237.93523659039</v>
      </c>
      <c r="D25" s="41" t="n">
        <f aca="false">IF((2026-Inputs!$B$51-Inputs!$B$9)&lt;0,0,IF((2026-Inputs!$B$51-Inputs!$B$9)=0,Inputs!$B$150*Inputs!$B$52,IF((2026-Inputs!$B$51-Inputs!$B$9)=1,Inputs!$B$150,IF((2026-Inputs!$B$51-Inputs!$B$9)=2,Inputs!$C$150,Inputs!$D$150*(1+Inputs!$B$159)^INT(((2026-Inputs!$B$51-Inputs!$B$9)-3)/3)))))*Inputs!$B$148*Inputs!$B$8</f>
        <v>0</v>
      </c>
      <c r="E25" s="41" t="n">
        <f aca="false">IF((2027-Inputs!$B$51-Inputs!$B$9)&lt;0,0,IF((2027-Inputs!$B$51-Inputs!$B$9)=0,Inputs!$B$150*Inputs!$B$52,IF((2027-Inputs!$B$51-Inputs!$B$9)=1,Inputs!$B$150,IF((2027-Inputs!$B$51-Inputs!$B$9)=2,Inputs!$C$150,Inputs!$D$150*(1+Inputs!$B$159)^INT(((2027-Inputs!$B$51-Inputs!$B$9)-3)/3)))))*Inputs!$B$148*Inputs!$B$8</f>
        <v>0</v>
      </c>
      <c r="F25" s="41" t="n">
        <f aca="false">IF((2028-Inputs!$B$51-Inputs!$B$9)&lt;0,0,IF((2028-Inputs!$B$51-Inputs!$B$9)=0,Inputs!$B$150*Inputs!$B$52,IF((2028-Inputs!$B$51-Inputs!$B$9)=1,Inputs!$B$150,IF((2028-Inputs!$B$51-Inputs!$B$9)=2,Inputs!$C$150,Inputs!$D$150*(1+Inputs!$B$159)^INT(((2028-Inputs!$B$51-Inputs!$B$9)-3)/3)))))*Inputs!$B$148*Inputs!$B$8</f>
        <v>5.43919931083409</v>
      </c>
      <c r="G25" s="41" t="n">
        <f aca="false">IF((2029-Inputs!$B$51-Inputs!$B$9)&lt;0,0,IF((2029-Inputs!$B$51-Inputs!$B$9)=0,Inputs!$B$150*Inputs!$B$52,IF((2029-Inputs!$B$51-Inputs!$B$9)=1,Inputs!$B$150,IF((2029-Inputs!$B$51-Inputs!$B$9)=2,Inputs!$C$150,Inputs!$D$150*(1+Inputs!$B$159)^INT(((2029-Inputs!$B$51-Inputs!$B$9)-3)/3)))))*Inputs!$B$148*Inputs!$B$8</f>
        <v>21.7567972433364</v>
      </c>
      <c r="H25" s="41" t="n">
        <f aca="false">IF((2030-Inputs!$B$51-Inputs!$B$9)&lt;0,0,IF((2030-Inputs!$B$51-Inputs!$B$9)=0,Inputs!$B$150*Inputs!$B$52,IF((2030-Inputs!$B$51-Inputs!$B$9)=1,Inputs!$B$150,IF((2030-Inputs!$B$51-Inputs!$B$9)=2,Inputs!$C$150,Inputs!$D$150*(1+Inputs!$B$159)^INT(((2030-Inputs!$B$51-Inputs!$B$9)-3)/3)))))*Inputs!$B$148*Inputs!$B$8</f>
        <v>28.6242349748273</v>
      </c>
      <c r="I25" s="41" t="n">
        <f aca="false">IF((2031-Inputs!$B$51-Inputs!$B$9)&lt;0,0,IF((2031-Inputs!$B$51-Inputs!$B$9)=0,Inputs!$B$150*Inputs!$B$52,IF((2031-Inputs!$B$51-Inputs!$B$9)=1,Inputs!$B$150,IF((2031-Inputs!$B$51-Inputs!$B$9)=2,Inputs!$C$150,Inputs!$D$150*(1+Inputs!$B$159)^INT(((2031-Inputs!$B$51-Inputs!$B$9)-3)/3)))))*Inputs!$B$148*Inputs!$B$8</f>
        <v>34.7696334862467</v>
      </c>
      <c r="J25" s="41" t="n">
        <f aca="false">IF((2032-Inputs!$B$51-Inputs!$B$9)&lt;0,0,IF((2032-Inputs!$B$51-Inputs!$B$9)=0,Inputs!$B$150*Inputs!$B$52,IF((2032-Inputs!$B$51-Inputs!$B$9)=1,Inputs!$B$150,IF((2032-Inputs!$B$51-Inputs!$B$9)=2,Inputs!$C$150,Inputs!$D$150*(1+Inputs!$B$159)^INT(((2032-Inputs!$B$51-Inputs!$B$9)-3)/3)))))*Inputs!$B$148*Inputs!$B$8</f>
        <v>34.7696334862467</v>
      </c>
      <c r="K25" s="41" t="n">
        <f aca="false">IF((2033-Inputs!$B$51-Inputs!$B$9)&lt;0,0,IF((2033-Inputs!$B$51-Inputs!$B$9)=0,Inputs!$B$150*Inputs!$B$52,IF((2033-Inputs!$B$51-Inputs!$B$9)=1,Inputs!$B$150,IF((2033-Inputs!$B$51-Inputs!$B$9)=2,Inputs!$C$150,Inputs!$D$150*(1+Inputs!$B$159)^INT(((2033-Inputs!$B$51-Inputs!$B$9)-3)/3)))))*Inputs!$B$148*Inputs!$B$8</f>
        <v>34.7696334862467</v>
      </c>
      <c r="L25" s="41" t="n">
        <f aca="false">IF((2034-Inputs!$B$51-Inputs!$B$9)&lt;0,0,IF((2034-Inputs!$B$51-Inputs!$B$9)=0,Inputs!$B$150*Inputs!$B$52,IF((2034-Inputs!$B$51-Inputs!$B$9)=1,Inputs!$B$150,IF((2034-Inputs!$B$51-Inputs!$B$9)=2,Inputs!$C$150,Inputs!$D$150*(1+Inputs!$B$159)^INT(((2034-Inputs!$B$51-Inputs!$B$9)-3)/3)))))*Inputs!$B$148*Inputs!$B$8</f>
        <v>38.2465968348714</v>
      </c>
      <c r="M25" s="41" t="n">
        <f aca="false">IF((2035-Inputs!$B$51-Inputs!$B$9)&lt;0,0,IF((2035-Inputs!$B$51-Inputs!$B$9)=0,Inputs!$B$150*Inputs!$B$52,IF((2035-Inputs!$B$51-Inputs!$B$9)=1,Inputs!$B$150,IF((2035-Inputs!$B$51-Inputs!$B$9)=2,Inputs!$C$150,Inputs!$D$150*(1+Inputs!$B$159)^INT(((2035-Inputs!$B$51-Inputs!$B$9)-3)/3)))))*Inputs!$B$148*Inputs!$B$8</f>
        <v>38.2465968348714</v>
      </c>
      <c r="N25" s="41" t="n">
        <f aca="false">IF((2036-Inputs!$B$51-Inputs!$B$9)&lt;0,0,IF((2036-Inputs!$B$51-Inputs!$B$9)=0,Inputs!$B$150*Inputs!$B$52,IF((2036-Inputs!$B$51-Inputs!$B$9)=1,Inputs!$B$150,IF((2036-Inputs!$B$51-Inputs!$B$9)=2,Inputs!$C$150,Inputs!$D$150*(1+Inputs!$B$159)^INT(((2036-Inputs!$B$51-Inputs!$B$9)-3)/3)))))*Inputs!$B$148*Inputs!$B$8</f>
        <v>38.2465968348714</v>
      </c>
      <c r="O25" s="41" t="n">
        <f aca="false">IF((2037-Inputs!$B$51-Inputs!$B$9)&lt;0,0,IF((2037-Inputs!$B$51-Inputs!$B$9)=0,Inputs!$B$150*Inputs!$B$52,IF((2037-Inputs!$B$51-Inputs!$B$9)=1,Inputs!$B$150,IF((2037-Inputs!$B$51-Inputs!$B$9)=2,Inputs!$C$150,Inputs!$D$150*(1+Inputs!$B$159)^INT(((2037-Inputs!$B$51-Inputs!$B$9)-3)/3)))))*Inputs!$B$148*Inputs!$B$8</f>
        <v>42.0712565183585</v>
      </c>
      <c r="P25" s="41" t="n">
        <f aca="false">IF((2038-Inputs!$B$51-Inputs!$B$9)&lt;0,0,IF((2038-Inputs!$B$51-Inputs!$B$9)=0,Inputs!$B$150*Inputs!$B$52,IF((2038-Inputs!$B$51-Inputs!$B$9)=1,Inputs!$B$150,IF((2038-Inputs!$B$51-Inputs!$B$9)=2,Inputs!$C$150,Inputs!$D$150*(1+Inputs!$B$159)^INT(((2038-Inputs!$B$51-Inputs!$B$9)-3)/3)))))*Inputs!$B$148*Inputs!$B$8</f>
        <v>42.0712565183585</v>
      </c>
      <c r="Q25" s="41" t="n">
        <f aca="false">IF((2039-Inputs!$B$51-Inputs!$B$9)&lt;0,0,IF((2039-Inputs!$B$51-Inputs!$B$9)=0,Inputs!$B$150*Inputs!$B$52,IF((2039-Inputs!$B$51-Inputs!$B$9)=1,Inputs!$B$150,IF((2039-Inputs!$B$51-Inputs!$B$9)=2,Inputs!$C$150,Inputs!$D$150*(1+Inputs!$B$159)^INT(((2039-Inputs!$B$51-Inputs!$B$9)-3)/3)))))*Inputs!$B$148*Inputs!$B$8</f>
        <v>42.0712565183585</v>
      </c>
      <c r="R25" s="41" t="n">
        <f aca="false">IF((2040-Inputs!$B$51-Inputs!$B$9)&lt;0,0,IF((2040-Inputs!$B$51-Inputs!$B$9)=0,Inputs!$B$150*Inputs!$B$52,IF((2040-Inputs!$B$51-Inputs!$B$9)=1,Inputs!$B$150,IF((2040-Inputs!$B$51-Inputs!$B$9)=2,Inputs!$C$150,Inputs!$D$150*(1+Inputs!$B$159)^INT(((2040-Inputs!$B$51-Inputs!$B$9)-3)/3)))))*Inputs!$B$148*Inputs!$B$8</f>
        <v>46.2783821701944</v>
      </c>
      <c r="S25" s="41" t="n">
        <f aca="false">IF((2041-Inputs!$B$51-Inputs!$B$9)&lt;0,0,IF((2041-Inputs!$B$51-Inputs!$B$9)=0,Inputs!$B$150*Inputs!$B$52,IF((2041-Inputs!$B$51-Inputs!$B$9)=1,Inputs!$B$150,IF((2041-Inputs!$B$51-Inputs!$B$9)=2,Inputs!$C$150,Inputs!$D$150*(1+Inputs!$B$159)^INT(((2041-Inputs!$B$51-Inputs!$B$9)-3)/3)))))*Inputs!$B$148*Inputs!$B$8</f>
        <v>46.2783821701944</v>
      </c>
      <c r="T25" s="41" t="n">
        <f aca="false">IF((2042-Inputs!$B$51-Inputs!$B$9)&lt;0,0,IF((2042-Inputs!$B$51-Inputs!$B$9)=0,Inputs!$B$150*Inputs!$B$52,IF((2042-Inputs!$B$51-Inputs!$B$9)=1,Inputs!$B$150,IF((2042-Inputs!$B$51-Inputs!$B$9)=2,Inputs!$C$150,Inputs!$D$150*(1+Inputs!$B$159)^INT(((2042-Inputs!$B$51-Inputs!$B$9)-3)/3)))))*Inputs!$B$148*Inputs!$B$8</f>
        <v>46.2783821701944</v>
      </c>
      <c r="U25" s="41" t="n">
        <f aca="false">IF((2043-Inputs!$B$51-Inputs!$B$9)&lt;0,0,IF((2043-Inputs!$B$51-Inputs!$B$9)=0,Inputs!$B$150*Inputs!$B$52,IF((2043-Inputs!$B$51-Inputs!$B$9)=1,Inputs!$B$150,IF((2043-Inputs!$B$51-Inputs!$B$9)=2,Inputs!$C$150,Inputs!$D$150*(1+Inputs!$B$159)^INT(((2043-Inputs!$B$51-Inputs!$B$9)-3)/3)))))*Inputs!$B$148*Inputs!$B$8</f>
        <v>50.9062203872138</v>
      </c>
      <c r="V25" s="41" t="n">
        <f aca="false">IF((2044-Inputs!$B$51-Inputs!$B$9)&lt;0,0,IF((2044-Inputs!$B$51-Inputs!$B$9)=0,Inputs!$B$150*Inputs!$B$52,IF((2044-Inputs!$B$51-Inputs!$B$9)=1,Inputs!$B$150,IF((2044-Inputs!$B$51-Inputs!$B$9)=2,Inputs!$C$150,Inputs!$D$150*(1+Inputs!$B$159)^INT(((2044-Inputs!$B$51-Inputs!$B$9)-3)/3)))))*Inputs!$B$148*Inputs!$B$8</f>
        <v>50.9062203872138</v>
      </c>
      <c r="W25" s="41" t="n">
        <f aca="false">IF((2045-Inputs!$B$51-Inputs!$B$9)&lt;0,0,IF((2045-Inputs!$B$51-Inputs!$B$9)=0,Inputs!$B$150*Inputs!$B$52,IF((2045-Inputs!$B$51-Inputs!$B$9)=1,Inputs!$B$150,IF((2045-Inputs!$B$51-Inputs!$B$9)=2,Inputs!$C$150,Inputs!$D$150*(1+Inputs!$B$159)^INT(((2045-Inputs!$B$51-Inputs!$B$9)-3)/3)))))*Inputs!$B$148*Inputs!$B$8</f>
        <v>50.9062203872138</v>
      </c>
      <c r="X25" s="41" t="n">
        <f aca="false">IF((2046-Inputs!$B$51-Inputs!$B$9)&lt;0,0,IF((2046-Inputs!$B$51-Inputs!$B$9)=0,Inputs!$B$150*Inputs!$B$52,IF((2046-Inputs!$B$51-Inputs!$B$9)=1,Inputs!$B$150,IF((2046-Inputs!$B$51-Inputs!$B$9)=2,Inputs!$C$150,Inputs!$D$150*(1+Inputs!$B$159)^INT(((2046-Inputs!$B$51-Inputs!$B$9)-3)/3)))))*Inputs!$B$148*Inputs!$B$8</f>
        <v>55.9968424259352</v>
      </c>
      <c r="Y25" s="41" t="n">
        <f aca="false">IF((2047-Inputs!$B$51-Inputs!$B$9)&lt;0,0,IF((2047-Inputs!$B$51-Inputs!$B$9)=0,Inputs!$B$150*Inputs!$B$52,IF((2047-Inputs!$B$51-Inputs!$B$9)=1,Inputs!$B$150,IF((2047-Inputs!$B$51-Inputs!$B$9)=2,Inputs!$C$150,Inputs!$D$150*(1+Inputs!$B$159)^INT(((2047-Inputs!$B$51-Inputs!$B$9)-3)/3)))))*Inputs!$B$148*Inputs!$B$8</f>
        <v>55.9968424259352</v>
      </c>
      <c r="Z25" s="41" t="n">
        <f aca="false">IF((2048-Inputs!$B$51-Inputs!$B$9)&lt;0,0,IF((2048-Inputs!$B$51-Inputs!$B$9)=0,Inputs!$B$150*Inputs!$B$52,IF((2048-Inputs!$B$51-Inputs!$B$9)=1,Inputs!$B$150,IF((2048-Inputs!$B$51-Inputs!$B$9)=2,Inputs!$C$150,Inputs!$D$150*(1+Inputs!$B$159)^INT(((2048-Inputs!$B$51-Inputs!$B$9)-3)/3)))))*Inputs!$B$148*Inputs!$B$8</f>
        <v>55.9968424259352</v>
      </c>
      <c r="AA25" s="41" t="n">
        <f aca="false">IF((2049-Inputs!$B$51-Inputs!$B$9)&lt;0,0,IF((2049-Inputs!$B$51-Inputs!$B$9)=0,Inputs!$B$150*Inputs!$B$52,IF((2049-Inputs!$B$51-Inputs!$B$9)=1,Inputs!$B$150,IF((2049-Inputs!$B$51-Inputs!$B$9)=2,Inputs!$C$150,Inputs!$D$150*(1+Inputs!$B$159)^INT(((2049-Inputs!$B$51-Inputs!$B$9)-3)/3)))))*Inputs!$B$148*Inputs!$B$8</f>
        <v>61.5965266685287</v>
      </c>
      <c r="AB25" s="41" t="n">
        <f aca="false">IF((2050-Inputs!$B$51-Inputs!$B$9)&lt;0,0,IF((2050-Inputs!$B$51-Inputs!$B$9)=0,Inputs!$B$150*Inputs!$B$52,IF((2050-Inputs!$B$51-Inputs!$B$9)=1,Inputs!$B$150,IF((2050-Inputs!$B$51-Inputs!$B$9)=2,Inputs!$C$150,Inputs!$D$150*(1+Inputs!$B$159)^INT(((2050-Inputs!$B$51-Inputs!$B$9)-3)/3)))))*Inputs!$B$148*Inputs!$B$8</f>
        <v>61.5965266685287</v>
      </c>
      <c r="AC25" s="41" t="n">
        <f aca="false">IF((2051-Inputs!$B$51-Inputs!$B$9)&lt;0,0,IF((2051-Inputs!$B$51-Inputs!$B$9)=0,Inputs!$B$150*Inputs!$B$52,IF((2051-Inputs!$B$51-Inputs!$B$9)=1,Inputs!$B$150,IF((2051-Inputs!$B$51-Inputs!$B$9)=2,Inputs!$C$150,Inputs!$D$150*(1+Inputs!$B$159)^INT(((2051-Inputs!$B$51-Inputs!$B$9)-3)/3)))))*Inputs!$B$148*Inputs!$B$8</f>
        <v>61.5965266685287</v>
      </c>
      <c r="AD25" s="41" t="n">
        <f aca="false">IF((2052-Inputs!$B$51-Inputs!$B$9)&lt;0,0,IF((2052-Inputs!$B$51-Inputs!$B$9)=0,Inputs!$B$150*Inputs!$B$52,IF((2052-Inputs!$B$51-Inputs!$B$9)=1,Inputs!$B$150,IF((2052-Inputs!$B$51-Inputs!$B$9)=2,Inputs!$C$150,Inputs!$D$150*(1+Inputs!$B$159)^INT(((2052-Inputs!$B$51-Inputs!$B$9)-3)/3)))))*Inputs!$B$148*Inputs!$B$8</f>
        <v>67.7561793353816</v>
      </c>
      <c r="AE25" s="41" t="n">
        <f aca="false">IF((2053-Inputs!$B$51-Inputs!$B$9)&lt;0,0,IF((2053-Inputs!$B$51-Inputs!$B$9)=0,Inputs!$B$150*Inputs!$B$52,IF((2053-Inputs!$B$51-Inputs!$B$9)=1,Inputs!$B$150,IF((2053-Inputs!$B$51-Inputs!$B$9)=2,Inputs!$C$150,Inputs!$D$150*(1+Inputs!$B$159)^INT(((2053-Inputs!$B$51-Inputs!$B$9)-3)/3)))))*Inputs!$B$148*Inputs!$B$8</f>
        <v>67.7561793353816</v>
      </c>
      <c r="AF25" s="41" t="n">
        <f aca="false">IF((2054-Inputs!$B$51-Inputs!$B$9)&lt;0,0,IF((2054-Inputs!$B$51-Inputs!$B$9)=0,Inputs!$B$150*Inputs!$B$52,IF((2054-Inputs!$B$51-Inputs!$B$9)=1,Inputs!$B$150,IF((2054-Inputs!$B$51-Inputs!$B$9)=2,Inputs!$C$150,Inputs!$D$150*(1+Inputs!$B$159)^INT(((2054-Inputs!$B$51-Inputs!$B$9)-3)/3)))))*Inputs!$B$148*Inputs!$B$8</f>
        <v>67.7561793353816</v>
      </c>
      <c r="AG25" s="41" t="n">
        <f aca="false">IF((2055-Inputs!$B$51-Inputs!$B$9)&lt;0,0,IF((2055-Inputs!$B$51-Inputs!$B$9)=0,Inputs!$B$150*Inputs!$B$52,IF((2055-Inputs!$B$51-Inputs!$B$9)=1,Inputs!$B$150,IF((2055-Inputs!$B$51-Inputs!$B$9)=2,Inputs!$C$150,Inputs!$D$150*(1+Inputs!$B$159)^INT(((2055-Inputs!$B$51-Inputs!$B$9)-3)/3)))))*Inputs!$B$148*Inputs!$B$8</f>
        <v>74.5317972689198</v>
      </c>
      <c r="AH25" s="41" t="n">
        <f aca="false">IF((2056-Inputs!$B$51-Inputs!$B$9)&lt;0,0,IF((2056-Inputs!$B$51-Inputs!$B$9)=0,Inputs!$B$150*Inputs!$B$52,IF((2056-Inputs!$B$51-Inputs!$B$9)=1,Inputs!$B$150,IF((2056-Inputs!$B$51-Inputs!$B$9)=2,Inputs!$C$150,Inputs!$D$150*(1+Inputs!$B$159)^INT(((2056-Inputs!$B$51-Inputs!$B$9)-3)/3)))))*Inputs!$B$148*Inputs!$B$8</f>
        <v>74.5317972689198</v>
      </c>
      <c r="AI25" s="41" t="n">
        <f aca="false">IF((2057-Inputs!$B$51-Inputs!$B$9)&lt;0,0,IF((2057-Inputs!$B$51-Inputs!$B$9)=0,Inputs!$B$150*Inputs!$B$52,IF((2057-Inputs!$B$51-Inputs!$B$9)=1,Inputs!$B$150,IF((2057-Inputs!$B$51-Inputs!$B$9)=2,Inputs!$C$150,Inputs!$D$150*(1+Inputs!$B$159)^INT(((2057-Inputs!$B$51-Inputs!$B$9)-3)/3)))))*Inputs!$B$148*Inputs!$B$8</f>
        <v>74.5317972689198</v>
      </c>
      <c r="AJ25" s="41" t="n">
        <f aca="false">IF((2058-Inputs!$B$51-Inputs!$B$9)&lt;0,0,IF((2058-Inputs!$B$51-Inputs!$B$9)=0,Inputs!$B$150*Inputs!$B$52,IF((2058-Inputs!$B$51-Inputs!$B$9)=1,Inputs!$B$150,IF((2058-Inputs!$B$51-Inputs!$B$9)=2,Inputs!$C$150,Inputs!$D$150*(1+Inputs!$B$159)^INT(((2058-Inputs!$B$51-Inputs!$B$9)-3)/3)))))*Inputs!$B$148*Inputs!$B$8</f>
        <v>81.9849769958117</v>
      </c>
      <c r="AK25" s="41" t="n">
        <f aca="false">IF((2059-Inputs!$B$51-Inputs!$B$9)&lt;0,0,IF((2059-Inputs!$B$51-Inputs!$B$9)=0,Inputs!$B$150*Inputs!$B$52,IF((2059-Inputs!$B$51-Inputs!$B$9)=1,Inputs!$B$150,IF((2059-Inputs!$B$51-Inputs!$B$9)=2,Inputs!$C$150,Inputs!$D$150*(1+Inputs!$B$159)^INT(((2059-Inputs!$B$51-Inputs!$B$9)-3)/3)))))*Inputs!$B$148*Inputs!$B$8</f>
        <v>81.9849769958117</v>
      </c>
      <c r="AL25" s="41" t="n">
        <f aca="false">IF((2060-Inputs!$B$51-Inputs!$B$9)&lt;0,0,IF((2060-Inputs!$B$51-Inputs!$B$9)=0,Inputs!$B$150*Inputs!$B$52,IF((2060-Inputs!$B$51-Inputs!$B$9)=1,Inputs!$B$150,IF((2060-Inputs!$B$51-Inputs!$B$9)=2,Inputs!$C$150,Inputs!$D$150*(1+Inputs!$B$159)^INT(((2060-Inputs!$B$51-Inputs!$B$9)-3)/3)))))*Inputs!$B$148*Inputs!$B$8</f>
        <v>81.9849769958117</v>
      </c>
      <c r="AM25" s="41" t="n">
        <f aca="false">IF((2061-Inputs!$B$51-Inputs!$B$9)&lt;0,0,IF((2061-Inputs!$B$51-Inputs!$B$9)=0,Inputs!$B$150*Inputs!$B$52,IF((2061-Inputs!$B$51-Inputs!$B$9)=1,Inputs!$B$150,IF((2061-Inputs!$B$51-Inputs!$B$9)=2,Inputs!$C$150,Inputs!$D$150*(1+Inputs!$B$159)^INT(((2061-Inputs!$B$51-Inputs!$B$9)-3)/3)))))*Inputs!$B$148*Inputs!$B$8</f>
        <v>90.1834746953929</v>
      </c>
      <c r="AN25" s="41" t="n">
        <f aca="false">IF((2062-Inputs!$B$51-Inputs!$B$9)&lt;0,0,IF((2062-Inputs!$B$51-Inputs!$B$9)=0,Inputs!$B$150*Inputs!$B$52,IF((2062-Inputs!$B$51-Inputs!$B$9)=1,Inputs!$B$150,IF((2062-Inputs!$B$51-Inputs!$B$9)=2,Inputs!$C$150,Inputs!$D$150*(1+Inputs!$B$159)^INT(((2062-Inputs!$B$51-Inputs!$B$9)-3)/3)))))*Inputs!$B$148*Inputs!$B$8</f>
        <v>90.1834746953929</v>
      </c>
      <c r="AO25" s="41" t="n">
        <f aca="false">IF((2063-Inputs!$B$51-Inputs!$B$9)&lt;0,0,IF((2063-Inputs!$B$51-Inputs!$B$9)=0,Inputs!$B$150*Inputs!$B$52,IF((2063-Inputs!$B$51-Inputs!$B$9)=1,Inputs!$B$150,IF((2063-Inputs!$B$51-Inputs!$B$9)=2,Inputs!$C$150,Inputs!$D$150*(1+Inputs!$B$159)^INT(((2063-Inputs!$B$51-Inputs!$B$9)-3)/3)))))*Inputs!$B$148*Inputs!$B$8</f>
        <v>90.1834746953929</v>
      </c>
      <c r="AP25" s="41" t="n">
        <f aca="false">IF((2064-Inputs!$B$51-Inputs!$B$9)&lt;0,0,IF((2064-Inputs!$B$51-Inputs!$B$9)=0,Inputs!$B$150*Inputs!$B$52,IF((2064-Inputs!$B$51-Inputs!$B$9)=1,Inputs!$B$150,IF((2064-Inputs!$B$51-Inputs!$B$9)=2,Inputs!$C$150,Inputs!$D$150*(1+Inputs!$B$159)^INT(((2064-Inputs!$B$51-Inputs!$B$9)-3)/3)))))*Inputs!$B$148*Inputs!$B$8</f>
        <v>99.2018221649322</v>
      </c>
      <c r="AQ25" s="41" t="n">
        <f aca="false">IF((2065-Inputs!$B$51-Inputs!$B$9)&lt;0,0,IF((2065-Inputs!$B$51-Inputs!$B$9)=0,Inputs!$B$150*Inputs!$B$52,IF((2065-Inputs!$B$51-Inputs!$B$9)=1,Inputs!$B$150,IF((2065-Inputs!$B$51-Inputs!$B$9)=2,Inputs!$C$150,Inputs!$D$150*(1+Inputs!$B$159)^INT(((2065-Inputs!$B$51-Inputs!$B$9)-3)/3)))))*Inputs!$B$148*Inputs!$B$8</f>
        <v>99.2018221649322</v>
      </c>
      <c r="AR25" s="41" t="n">
        <f aca="false">IF((2066-Inputs!$B$51-Inputs!$B$9)&lt;0,0,IF((2066-Inputs!$B$51-Inputs!$B$9)=0,Inputs!$B$150*Inputs!$B$52,IF((2066-Inputs!$B$51-Inputs!$B$9)=1,Inputs!$B$150,IF((2066-Inputs!$B$51-Inputs!$B$9)=2,Inputs!$C$150,Inputs!$D$150*(1+Inputs!$B$159)^INT(((2066-Inputs!$B$51-Inputs!$B$9)-3)/3)))))*Inputs!$B$148*Inputs!$B$8</f>
        <v>99.2018221649322</v>
      </c>
      <c r="AS25" s="41" t="n">
        <f aca="false">IF((2067-Inputs!$B$51-Inputs!$B$9)&lt;0,0,IF((2067-Inputs!$B$51-Inputs!$B$9)=0,Inputs!$B$150*Inputs!$B$52,IF((2067-Inputs!$B$51-Inputs!$B$9)=1,Inputs!$B$150,IF((2067-Inputs!$B$51-Inputs!$B$9)=2,Inputs!$C$150,Inputs!$D$150*(1+Inputs!$B$159)^INT(((2067-Inputs!$B$51-Inputs!$B$9)-3)/3)))))*Inputs!$B$148*Inputs!$B$8</f>
        <v>109.122004381425</v>
      </c>
      <c r="AT25" s="41" t="n">
        <f aca="false">IF((2068-Inputs!$B$51-Inputs!$B$9)&lt;0,0,IF((2068-Inputs!$B$51-Inputs!$B$9)=0,Inputs!$B$150*Inputs!$B$52,IF((2068-Inputs!$B$51-Inputs!$B$9)=1,Inputs!$B$150,IF((2068-Inputs!$B$51-Inputs!$B$9)=2,Inputs!$C$150,Inputs!$D$150*(1+Inputs!$B$159)^INT(((2068-Inputs!$B$51-Inputs!$B$9)-3)/3)))))*Inputs!$B$148*Inputs!$B$8</f>
        <v>109.122004381425</v>
      </c>
      <c r="AU25" s="41" t="n">
        <f aca="false">IF((2069-Inputs!$B$51-Inputs!$B$9)&lt;0,0,IF((2069-Inputs!$B$51-Inputs!$B$9)=0,Inputs!$B$150*Inputs!$B$52,IF((2069-Inputs!$B$51-Inputs!$B$9)=1,Inputs!$B$150,IF((2069-Inputs!$B$51-Inputs!$B$9)=2,Inputs!$C$150,Inputs!$D$150*(1+Inputs!$B$159)^INT(((2069-Inputs!$B$51-Inputs!$B$9)-3)/3)))))*Inputs!$B$148*Inputs!$B$8</f>
        <v>109.122004381425</v>
      </c>
      <c r="AV25" s="41" t="n">
        <f aca="false">IF((2070-Inputs!$B$51-Inputs!$B$9)&lt;0,0,IF((2070-Inputs!$B$51-Inputs!$B$9)=0,Inputs!$B$150*Inputs!$B$52,IF((2070-Inputs!$B$51-Inputs!$B$9)=1,Inputs!$B$150,IF((2070-Inputs!$B$51-Inputs!$B$9)=2,Inputs!$C$150,Inputs!$D$150*(1+Inputs!$B$159)^INT(((2070-Inputs!$B$51-Inputs!$B$9)-3)/3)))))*Inputs!$B$148*Inputs!$B$8</f>
        <v>120.034204819568</v>
      </c>
      <c r="AW25" s="41" t="n">
        <f aca="false">IF((2071-Inputs!$B$51-Inputs!$B$9)&lt;0,0,IF((2071-Inputs!$B$51-Inputs!$B$9)=0,Inputs!$B$150*Inputs!$B$52,IF((2071-Inputs!$B$51-Inputs!$B$9)=1,Inputs!$B$150,IF((2071-Inputs!$B$51-Inputs!$B$9)=2,Inputs!$C$150,Inputs!$D$150*(1+Inputs!$B$159)^INT(((2071-Inputs!$B$51-Inputs!$B$9)-3)/3)))))*Inputs!$B$148*Inputs!$B$8</f>
        <v>120.034204819568</v>
      </c>
      <c r="AX25" s="41" t="n">
        <f aca="false">IF((2072-Inputs!$B$51-Inputs!$B$9)&lt;0,0,IF((2072-Inputs!$B$51-Inputs!$B$9)=0,Inputs!$B$150*Inputs!$B$52,IF((2072-Inputs!$B$51-Inputs!$B$9)=1,Inputs!$B$150,IF((2072-Inputs!$B$51-Inputs!$B$9)=2,Inputs!$C$150,Inputs!$D$150*(1+Inputs!$B$159)^INT(((2072-Inputs!$B$51-Inputs!$B$9)-3)/3)))))*Inputs!$B$148*Inputs!$B$8</f>
        <v>120.034204819568</v>
      </c>
      <c r="AY25" s="41" t="n">
        <f aca="false">IF((2073-Inputs!$B$51-Inputs!$B$9)&lt;0,0,IF((2073-Inputs!$B$51-Inputs!$B$9)=0,Inputs!$B$150*Inputs!$B$52,IF((2073-Inputs!$B$51-Inputs!$B$9)=1,Inputs!$B$150,IF((2073-Inputs!$B$51-Inputs!$B$9)=2,Inputs!$C$150,Inputs!$D$150*(1+Inputs!$B$159)^INT(((2073-Inputs!$B$51-Inputs!$B$9)-3)/3)))))*Inputs!$B$148*Inputs!$B$8</f>
        <v>132.037625301525</v>
      </c>
      <c r="AZ25" s="41" t="n">
        <f aca="false">IF((2074-Inputs!$B$51-Inputs!$B$9)&lt;0,0,IF((2074-Inputs!$B$51-Inputs!$B$9)=0,Inputs!$B$150*Inputs!$B$52,IF((2074-Inputs!$B$51-Inputs!$B$9)=1,Inputs!$B$150,IF((2074-Inputs!$B$51-Inputs!$B$9)=2,Inputs!$C$150,Inputs!$D$150*(1+Inputs!$B$159)^INT(((2074-Inputs!$B$51-Inputs!$B$9)-3)/3)))))*Inputs!$B$148*Inputs!$B$8</f>
        <v>132.037625301525</v>
      </c>
    </row>
    <row r="26" customFormat="false" ht="15" hidden="false" customHeight="true" outlineLevel="0" collapsed="false">
      <c r="A26" s="13" t="s">
        <v>634</v>
      </c>
      <c r="B26" s="15" t="s">
        <v>633</v>
      </c>
      <c r="C26" s="41" t="n">
        <f aca="false">SUM(D26:AZ26)</f>
        <v>400.212305896635</v>
      </c>
      <c r="D26" s="41" t="n">
        <f aca="false">IF((2026-Inputs!$B$51-Inputs!$B$9)&lt;0,0,IF((2026-Inputs!$B$51-Inputs!$B$9)=0,Inputs!$B$151*Inputs!$B$52,IF((2026-Inputs!$B$51-Inputs!$B$9)=1,Inputs!$B$151,IF((2026-Inputs!$B$51-Inputs!$B$9)=2,Inputs!$C$151,Inputs!$D$151*(1+Inputs!$B$159)^INT(((2026-Inputs!$B$51-Inputs!$B$9)-3)/3)))))*Inputs!$B$148*Inputs!$B$8</f>
        <v>0</v>
      </c>
      <c r="E26" s="41" t="n">
        <f aca="false">IF((2027-Inputs!$B$51-Inputs!$B$9)&lt;0,0,IF((2027-Inputs!$B$51-Inputs!$B$9)=0,Inputs!$B$151*Inputs!$B$52,IF((2027-Inputs!$B$51-Inputs!$B$9)=1,Inputs!$B$151,IF((2027-Inputs!$B$51-Inputs!$B$9)=2,Inputs!$C$151,Inputs!$D$151*(1+Inputs!$B$159)^INT(((2027-Inputs!$B$51-Inputs!$B$9)-3)/3)))))*Inputs!$B$148*Inputs!$B$8</f>
        <v>0</v>
      </c>
      <c r="F26" s="41" t="n">
        <f aca="false">IF((2028-Inputs!$B$51-Inputs!$B$9)&lt;0,0,IF((2028-Inputs!$B$51-Inputs!$B$9)=0,Inputs!$B$151*Inputs!$B$52,IF((2028-Inputs!$B$51-Inputs!$B$9)=1,Inputs!$B$151,IF((2028-Inputs!$B$51-Inputs!$B$9)=2,Inputs!$C$151,Inputs!$D$151*(1+Inputs!$B$159)^INT(((2028-Inputs!$B$51-Inputs!$B$9)-3)/3)))))*Inputs!$B$148*Inputs!$B$8</f>
        <v>0.884727573304684</v>
      </c>
      <c r="G26" s="41" t="n">
        <f aca="false">IF((2029-Inputs!$B$51-Inputs!$B$9)&lt;0,0,IF((2029-Inputs!$B$51-Inputs!$B$9)=0,Inputs!$B$151*Inputs!$B$52,IF((2029-Inputs!$B$51-Inputs!$B$9)=1,Inputs!$B$151,IF((2029-Inputs!$B$51-Inputs!$B$9)=2,Inputs!$C$151,Inputs!$D$151*(1+Inputs!$B$159)^INT(((2029-Inputs!$B$51-Inputs!$B$9)-3)/3)))))*Inputs!$B$148*Inputs!$B$8</f>
        <v>3.53891029321874</v>
      </c>
      <c r="H26" s="41" t="n">
        <f aca="false">IF((2030-Inputs!$B$51-Inputs!$B$9)&lt;0,0,IF((2030-Inputs!$B$51-Inputs!$B$9)=0,Inputs!$B$151*Inputs!$B$52,IF((2030-Inputs!$B$51-Inputs!$B$9)=1,Inputs!$B$151,IF((2030-Inputs!$B$51-Inputs!$B$9)=2,Inputs!$C$151,Inputs!$D$151*(1+Inputs!$B$159)^INT(((2030-Inputs!$B$51-Inputs!$B$9)-3)/3)))))*Inputs!$B$148*Inputs!$B$8</f>
        <v>3.89280132254061</v>
      </c>
      <c r="I26" s="41" t="n">
        <f aca="false">IF((2031-Inputs!$B$51-Inputs!$B$9)&lt;0,0,IF((2031-Inputs!$B$51-Inputs!$B$9)=0,Inputs!$B$151*Inputs!$B$52,IF((2031-Inputs!$B$51-Inputs!$B$9)=1,Inputs!$B$151,IF((2031-Inputs!$B$51-Inputs!$B$9)=2,Inputs!$C$151,Inputs!$D$151*(1+Inputs!$B$159)^INT(((2031-Inputs!$B$51-Inputs!$B$9)-3)/3)))))*Inputs!$B$148*Inputs!$B$8</f>
        <v>4.28208145479467</v>
      </c>
      <c r="J26" s="41" t="n">
        <f aca="false">IF((2032-Inputs!$B$51-Inputs!$B$9)&lt;0,0,IF((2032-Inputs!$B$51-Inputs!$B$9)=0,Inputs!$B$151*Inputs!$B$52,IF((2032-Inputs!$B$51-Inputs!$B$9)=1,Inputs!$B$151,IF((2032-Inputs!$B$51-Inputs!$B$9)=2,Inputs!$C$151,Inputs!$D$151*(1+Inputs!$B$159)^INT(((2032-Inputs!$B$51-Inputs!$B$9)-3)/3)))))*Inputs!$B$148*Inputs!$B$8</f>
        <v>4.28208145479467</v>
      </c>
      <c r="K26" s="41" t="n">
        <f aca="false">IF((2033-Inputs!$B$51-Inputs!$B$9)&lt;0,0,IF((2033-Inputs!$B$51-Inputs!$B$9)=0,Inputs!$B$151*Inputs!$B$52,IF((2033-Inputs!$B$51-Inputs!$B$9)=1,Inputs!$B$151,IF((2033-Inputs!$B$51-Inputs!$B$9)=2,Inputs!$C$151,Inputs!$D$151*(1+Inputs!$B$159)^INT(((2033-Inputs!$B$51-Inputs!$B$9)-3)/3)))))*Inputs!$B$148*Inputs!$B$8</f>
        <v>4.28208145479467</v>
      </c>
      <c r="L26" s="41" t="n">
        <f aca="false">IF((2034-Inputs!$B$51-Inputs!$B$9)&lt;0,0,IF((2034-Inputs!$B$51-Inputs!$B$9)=0,Inputs!$B$151*Inputs!$B$52,IF((2034-Inputs!$B$51-Inputs!$B$9)=1,Inputs!$B$151,IF((2034-Inputs!$B$51-Inputs!$B$9)=2,Inputs!$C$151,Inputs!$D$151*(1+Inputs!$B$159)^INT(((2034-Inputs!$B$51-Inputs!$B$9)-3)/3)))))*Inputs!$B$148*Inputs!$B$8</f>
        <v>4.71028960027414</v>
      </c>
      <c r="M26" s="41" t="n">
        <f aca="false">IF((2035-Inputs!$B$51-Inputs!$B$9)&lt;0,0,IF((2035-Inputs!$B$51-Inputs!$B$9)=0,Inputs!$B$151*Inputs!$B$52,IF((2035-Inputs!$B$51-Inputs!$B$9)=1,Inputs!$B$151,IF((2035-Inputs!$B$51-Inputs!$B$9)=2,Inputs!$C$151,Inputs!$D$151*(1+Inputs!$B$159)^INT(((2035-Inputs!$B$51-Inputs!$B$9)-3)/3)))))*Inputs!$B$148*Inputs!$B$8</f>
        <v>4.71028960027414</v>
      </c>
      <c r="N26" s="41" t="n">
        <f aca="false">IF((2036-Inputs!$B$51-Inputs!$B$9)&lt;0,0,IF((2036-Inputs!$B$51-Inputs!$B$9)=0,Inputs!$B$151*Inputs!$B$52,IF((2036-Inputs!$B$51-Inputs!$B$9)=1,Inputs!$B$151,IF((2036-Inputs!$B$51-Inputs!$B$9)=2,Inputs!$C$151,Inputs!$D$151*(1+Inputs!$B$159)^INT(((2036-Inputs!$B$51-Inputs!$B$9)-3)/3)))))*Inputs!$B$148*Inputs!$B$8</f>
        <v>4.71028960027414</v>
      </c>
      <c r="O26" s="41" t="n">
        <f aca="false">IF((2037-Inputs!$B$51-Inputs!$B$9)&lt;0,0,IF((2037-Inputs!$B$51-Inputs!$B$9)=0,Inputs!$B$151*Inputs!$B$52,IF((2037-Inputs!$B$51-Inputs!$B$9)=1,Inputs!$B$151,IF((2037-Inputs!$B$51-Inputs!$B$9)=2,Inputs!$C$151,Inputs!$D$151*(1+Inputs!$B$159)^INT(((2037-Inputs!$B$51-Inputs!$B$9)-3)/3)))))*Inputs!$B$148*Inputs!$B$8</f>
        <v>5.18131856030156</v>
      </c>
      <c r="P26" s="41" t="n">
        <f aca="false">IF((2038-Inputs!$B$51-Inputs!$B$9)&lt;0,0,IF((2038-Inputs!$B$51-Inputs!$B$9)=0,Inputs!$B$151*Inputs!$B$52,IF((2038-Inputs!$B$51-Inputs!$B$9)=1,Inputs!$B$151,IF((2038-Inputs!$B$51-Inputs!$B$9)=2,Inputs!$C$151,Inputs!$D$151*(1+Inputs!$B$159)^INT(((2038-Inputs!$B$51-Inputs!$B$9)-3)/3)))))*Inputs!$B$148*Inputs!$B$8</f>
        <v>5.18131856030156</v>
      </c>
      <c r="Q26" s="41" t="n">
        <f aca="false">IF((2039-Inputs!$B$51-Inputs!$B$9)&lt;0,0,IF((2039-Inputs!$B$51-Inputs!$B$9)=0,Inputs!$B$151*Inputs!$B$52,IF((2039-Inputs!$B$51-Inputs!$B$9)=1,Inputs!$B$151,IF((2039-Inputs!$B$51-Inputs!$B$9)=2,Inputs!$C$151,Inputs!$D$151*(1+Inputs!$B$159)^INT(((2039-Inputs!$B$51-Inputs!$B$9)-3)/3)))))*Inputs!$B$148*Inputs!$B$8</f>
        <v>5.18131856030156</v>
      </c>
      <c r="R26" s="41" t="n">
        <f aca="false">IF((2040-Inputs!$B$51-Inputs!$B$9)&lt;0,0,IF((2040-Inputs!$B$51-Inputs!$B$9)=0,Inputs!$B$151*Inputs!$B$52,IF((2040-Inputs!$B$51-Inputs!$B$9)=1,Inputs!$B$151,IF((2040-Inputs!$B$51-Inputs!$B$9)=2,Inputs!$C$151,Inputs!$D$151*(1+Inputs!$B$159)^INT(((2040-Inputs!$B$51-Inputs!$B$9)-3)/3)))))*Inputs!$B$148*Inputs!$B$8</f>
        <v>5.69945041633171</v>
      </c>
      <c r="S26" s="41" t="n">
        <f aca="false">IF((2041-Inputs!$B$51-Inputs!$B$9)&lt;0,0,IF((2041-Inputs!$B$51-Inputs!$B$9)=0,Inputs!$B$151*Inputs!$B$52,IF((2041-Inputs!$B$51-Inputs!$B$9)=1,Inputs!$B$151,IF((2041-Inputs!$B$51-Inputs!$B$9)=2,Inputs!$C$151,Inputs!$D$151*(1+Inputs!$B$159)^INT(((2041-Inputs!$B$51-Inputs!$B$9)-3)/3)))))*Inputs!$B$148*Inputs!$B$8</f>
        <v>5.69945041633171</v>
      </c>
      <c r="T26" s="41" t="n">
        <f aca="false">IF((2042-Inputs!$B$51-Inputs!$B$9)&lt;0,0,IF((2042-Inputs!$B$51-Inputs!$B$9)=0,Inputs!$B$151*Inputs!$B$52,IF((2042-Inputs!$B$51-Inputs!$B$9)=1,Inputs!$B$151,IF((2042-Inputs!$B$51-Inputs!$B$9)=2,Inputs!$C$151,Inputs!$D$151*(1+Inputs!$B$159)^INT(((2042-Inputs!$B$51-Inputs!$B$9)-3)/3)))))*Inputs!$B$148*Inputs!$B$8</f>
        <v>5.69945041633171</v>
      </c>
      <c r="U26" s="41" t="n">
        <f aca="false">IF((2043-Inputs!$B$51-Inputs!$B$9)&lt;0,0,IF((2043-Inputs!$B$51-Inputs!$B$9)=0,Inputs!$B$151*Inputs!$B$52,IF((2043-Inputs!$B$51-Inputs!$B$9)=1,Inputs!$B$151,IF((2043-Inputs!$B$51-Inputs!$B$9)=2,Inputs!$C$151,Inputs!$D$151*(1+Inputs!$B$159)^INT(((2043-Inputs!$B$51-Inputs!$B$9)-3)/3)))))*Inputs!$B$148*Inputs!$B$8</f>
        <v>6.26939545796488</v>
      </c>
      <c r="V26" s="41" t="n">
        <f aca="false">IF((2044-Inputs!$B$51-Inputs!$B$9)&lt;0,0,IF((2044-Inputs!$B$51-Inputs!$B$9)=0,Inputs!$B$151*Inputs!$B$52,IF((2044-Inputs!$B$51-Inputs!$B$9)=1,Inputs!$B$151,IF((2044-Inputs!$B$51-Inputs!$B$9)=2,Inputs!$C$151,Inputs!$D$151*(1+Inputs!$B$159)^INT(((2044-Inputs!$B$51-Inputs!$B$9)-3)/3)))))*Inputs!$B$148*Inputs!$B$8</f>
        <v>6.26939545796488</v>
      </c>
      <c r="W26" s="41" t="n">
        <f aca="false">IF((2045-Inputs!$B$51-Inputs!$B$9)&lt;0,0,IF((2045-Inputs!$B$51-Inputs!$B$9)=0,Inputs!$B$151*Inputs!$B$52,IF((2045-Inputs!$B$51-Inputs!$B$9)=1,Inputs!$B$151,IF((2045-Inputs!$B$51-Inputs!$B$9)=2,Inputs!$C$151,Inputs!$D$151*(1+Inputs!$B$159)^INT(((2045-Inputs!$B$51-Inputs!$B$9)-3)/3)))))*Inputs!$B$148*Inputs!$B$8</f>
        <v>6.26939545796488</v>
      </c>
      <c r="X26" s="41" t="n">
        <f aca="false">IF((2046-Inputs!$B$51-Inputs!$B$9)&lt;0,0,IF((2046-Inputs!$B$51-Inputs!$B$9)=0,Inputs!$B$151*Inputs!$B$52,IF((2046-Inputs!$B$51-Inputs!$B$9)=1,Inputs!$B$151,IF((2046-Inputs!$B$51-Inputs!$B$9)=2,Inputs!$C$151,Inputs!$D$151*(1+Inputs!$B$159)^INT(((2046-Inputs!$B$51-Inputs!$B$9)-3)/3)))))*Inputs!$B$148*Inputs!$B$8</f>
        <v>6.89633500376137</v>
      </c>
      <c r="Y26" s="41" t="n">
        <f aca="false">IF((2047-Inputs!$B$51-Inputs!$B$9)&lt;0,0,IF((2047-Inputs!$B$51-Inputs!$B$9)=0,Inputs!$B$151*Inputs!$B$52,IF((2047-Inputs!$B$51-Inputs!$B$9)=1,Inputs!$B$151,IF((2047-Inputs!$B$51-Inputs!$B$9)=2,Inputs!$C$151,Inputs!$D$151*(1+Inputs!$B$159)^INT(((2047-Inputs!$B$51-Inputs!$B$9)-3)/3)))))*Inputs!$B$148*Inputs!$B$8</f>
        <v>6.89633500376137</v>
      </c>
      <c r="Z26" s="41" t="n">
        <f aca="false">IF((2048-Inputs!$B$51-Inputs!$B$9)&lt;0,0,IF((2048-Inputs!$B$51-Inputs!$B$9)=0,Inputs!$B$151*Inputs!$B$52,IF((2048-Inputs!$B$51-Inputs!$B$9)=1,Inputs!$B$151,IF((2048-Inputs!$B$51-Inputs!$B$9)=2,Inputs!$C$151,Inputs!$D$151*(1+Inputs!$B$159)^INT(((2048-Inputs!$B$51-Inputs!$B$9)-3)/3)))))*Inputs!$B$148*Inputs!$B$8</f>
        <v>6.89633500376137</v>
      </c>
      <c r="AA26" s="41" t="n">
        <f aca="false">IF((2049-Inputs!$B$51-Inputs!$B$9)&lt;0,0,IF((2049-Inputs!$B$51-Inputs!$B$9)=0,Inputs!$B$151*Inputs!$B$52,IF((2049-Inputs!$B$51-Inputs!$B$9)=1,Inputs!$B$151,IF((2049-Inputs!$B$51-Inputs!$B$9)=2,Inputs!$C$151,Inputs!$D$151*(1+Inputs!$B$159)^INT(((2049-Inputs!$B$51-Inputs!$B$9)-3)/3)))))*Inputs!$B$148*Inputs!$B$8</f>
        <v>7.58596850413751</v>
      </c>
      <c r="AB26" s="41" t="n">
        <f aca="false">IF((2050-Inputs!$B$51-Inputs!$B$9)&lt;0,0,IF((2050-Inputs!$B$51-Inputs!$B$9)=0,Inputs!$B$151*Inputs!$B$52,IF((2050-Inputs!$B$51-Inputs!$B$9)=1,Inputs!$B$151,IF((2050-Inputs!$B$51-Inputs!$B$9)=2,Inputs!$C$151,Inputs!$D$151*(1+Inputs!$B$159)^INT(((2050-Inputs!$B$51-Inputs!$B$9)-3)/3)))))*Inputs!$B$148*Inputs!$B$8</f>
        <v>7.58596850413751</v>
      </c>
      <c r="AC26" s="41" t="n">
        <f aca="false">IF((2051-Inputs!$B$51-Inputs!$B$9)&lt;0,0,IF((2051-Inputs!$B$51-Inputs!$B$9)=0,Inputs!$B$151*Inputs!$B$52,IF((2051-Inputs!$B$51-Inputs!$B$9)=1,Inputs!$B$151,IF((2051-Inputs!$B$51-Inputs!$B$9)=2,Inputs!$C$151,Inputs!$D$151*(1+Inputs!$B$159)^INT(((2051-Inputs!$B$51-Inputs!$B$9)-3)/3)))))*Inputs!$B$148*Inputs!$B$8</f>
        <v>7.58596850413751</v>
      </c>
      <c r="AD26" s="41" t="n">
        <f aca="false">IF((2052-Inputs!$B$51-Inputs!$B$9)&lt;0,0,IF((2052-Inputs!$B$51-Inputs!$B$9)=0,Inputs!$B$151*Inputs!$B$52,IF((2052-Inputs!$B$51-Inputs!$B$9)=1,Inputs!$B$151,IF((2052-Inputs!$B$51-Inputs!$B$9)=2,Inputs!$C$151,Inputs!$D$151*(1+Inputs!$B$159)^INT(((2052-Inputs!$B$51-Inputs!$B$9)-3)/3)))))*Inputs!$B$148*Inputs!$B$8</f>
        <v>8.34456535455126</v>
      </c>
      <c r="AE26" s="41" t="n">
        <f aca="false">IF((2053-Inputs!$B$51-Inputs!$B$9)&lt;0,0,IF((2053-Inputs!$B$51-Inputs!$B$9)=0,Inputs!$B$151*Inputs!$B$52,IF((2053-Inputs!$B$51-Inputs!$B$9)=1,Inputs!$B$151,IF((2053-Inputs!$B$51-Inputs!$B$9)=2,Inputs!$C$151,Inputs!$D$151*(1+Inputs!$B$159)^INT(((2053-Inputs!$B$51-Inputs!$B$9)-3)/3)))))*Inputs!$B$148*Inputs!$B$8</f>
        <v>8.34456535455126</v>
      </c>
      <c r="AF26" s="41" t="n">
        <f aca="false">IF((2054-Inputs!$B$51-Inputs!$B$9)&lt;0,0,IF((2054-Inputs!$B$51-Inputs!$B$9)=0,Inputs!$B$151*Inputs!$B$52,IF((2054-Inputs!$B$51-Inputs!$B$9)=1,Inputs!$B$151,IF((2054-Inputs!$B$51-Inputs!$B$9)=2,Inputs!$C$151,Inputs!$D$151*(1+Inputs!$B$159)^INT(((2054-Inputs!$B$51-Inputs!$B$9)-3)/3)))))*Inputs!$B$148*Inputs!$B$8</f>
        <v>8.34456535455126</v>
      </c>
      <c r="AG26" s="41" t="n">
        <f aca="false">IF((2055-Inputs!$B$51-Inputs!$B$9)&lt;0,0,IF((2055-Inputs!$B$51-Inputs!$B$9)=0,Inputs!$B$151*Inputs!$B$52,IF((2055-Inputs!$B$51-Inputs!$B$9)=1,Inputs!$B$151,IF((2055-Inputs!$B$51-Inputs!$B$9)=2,Inputs!$C$151,Inputs!$D$151*(1+Inputs!$B$159)^INT(((2055-Inputs!$B$51-Inputs!$B$9)-3)/3)))))*Inputs!$B$148*Inputs!$B$8</f>
        <v>9.17902189000639</v>
      </c>
      <c r="AH26" s="41" t="n">
        <f aca="false">IF((2056-Inputs!$B$51-Inputs!$B$9)&lt;0,0,IF((2056-Inputs!$B$51-Inputs!$B$9)=0,Inputs!$B$151*Inputs!$B$52,IF((2056-Inputs!$B$51-Inputs!$B$9)=1,Inputs!$B$151,IF((2056-Inputs!$B$51-Inputs!$B$9)=2,Inputs!$C$151,Inputs!$D$151*(1+Inputs!$B$159)^INT(((2056-Inputs!$B$51-Inputs!$B$9)-3)/3)))))*Inputs!$B$148*Inputs!$B$8</f>
        <v>9.17902189000639</v>
      </c>
      <c r="AI26" s="41" t="n">
        <f aca="false">IF((2057-Inputs!$B$51-Inputs!$B$9)&lt;0,0,IF((2057-Inputs!$B$51-Inputs!$B$9)=0,Inputs!$B$151*Inputs!$B$52,IF((2057-Inputs!$B$51-Inputs!$B$9)=1,Inputs!$B$151,IF((2057-Inputs!$B$51-Inputs!$B$9)=2,Inputs!$C$151,Inputs!$D$151*(1+Inputs!$B$159)^INT(((2057-Inputs!$B$51-Inputs!$B$9)-3)/3)))))*Inputs!$B$148*Inputs!$B$8</f>
        <v>9.17902189000639</v>
      </c>
      <c r="AJ26" s="41" t="n">
        <f aca="false">IF((2058-Inputs!$B$51-Inputs!$B$9)&lt;0,0,IF((2058-Inputs!$B$51-Inputs!$B$9)=0,Inputs!$B$151*Inputs!$B$52,IF((2058-Inputs!$B$51-Inputs!$B$9)=1,Inputs!$B$151,IF((2058-Inputs!$B$51-Inputs!$B$9)=2,Inputs!$C$151,Inputs!$D$151*(1+Inputs!$B$159)^INT(((2058-Inputs!$B$51-Inputs!$B$9)-3)/3)))))*Inputs!$B$148*Inputs!$B$8</f>
        <v>10.096924079007</v>
      </c>
      <c r="AK26" s="41" t="n">
        <f aca="false">IF((2059-Inputs!$B$51-Inputs!$B$9)&lt;0,0,IF((2059-Inputs!$B$51-Inputs!$B$9)=0,Inputs!$B$151*Inputs!$B$52,IF((2059-Inputs!$B$51-Inputs!$B$9)=1,Inputs!$B$151,IF((2059-Inputs!$B$51-Inputs!$B$9)=2,Inputs!$C$151,Inputs!$D$151*(1+Inputs!$B$159)^INT(((2059-Inputs!$B$51-Inputs!$B$9)-3)/3)))))*Inputs!$B$148*Inputs!$B$8</f>
        <v>10.096924079007</v>
      </c>
      <c r="AL26" s="41" t="n">
        <f aca="false">IF((2060-Inputs!$B$51-Inputs!$B$9)&lt;0,0,IF((2060-Inputs!$B$51-Inputs!$B$9)=0,Inputs!$B$151*Inputs!$B$52,IF((2060-Inputs!$B$51-Inputs!$B$9)=1,Inputs!$B$151,IF((2060-Inputs!$B$51-Inputs!$B$9)=2,Inputs!$C$151,Inputs!$D$151*(1+Inputs!$B$159)^INT(((2060-Inputs!$B$51-Inputs!$B$9)-3)/3)))))*Inputs!$B$148*Inputs!$B$8</f>
        <v>10.096924079007</v>
      </c>
      <c r="AM26" s="41" t="n">
        <f aca="false">IF((2061-Inputs!$B$51-Inputs!$B$9)&lt;0,0,IF((2061-Inputs!$B$51-Inputs!$B$9)=0,Inputs!$B$151*Inputs!$B$52,IF((2061-Inputs!$B$51-Inputs!$B$9)=1,Inputs!$B$151,IF((2061-Inputs!$B$51-Inputs!$B$9)=2,Inputs!$C$151,Inputs!$D$151*(1+Inputs!$B$159)^INT(((2061-Inputs!$B$51-Inputs!$B$9)-3)/3)))))*Inputs!$B$148*Inputs!$B$8</f>
        <v>11.1066164869077</v>
      </c>
      <c r="AN26" s="41" t="n">
        <f aca="false">IF((2062-Inputs!$B$51-Inputs!$B$9)&lt;0,0,IF((2062-Inputs!$B$51-Inputs!$B$9)=0,Inputs!$B$151*Inputs!$B$52,IF((2062-Inputs!$B$51-Inputs!$B$9)=1,Inputs!$B$151,IF((2062-Inputs!$B$51-Inputs!$B$9)=2,Inputs!$C$151,Inputs!$D$151*(1+Inputs!$B$159)^INT(((2062-Inputs!$B$51-Inputs!$B$9)-3)/3)))))*Inputs!$B$148*Inputs!$B$8</f>
        <v>11.1066164869077</v>
      </c>
      <c r="AO26" s="41" t="n">
        <f aca="false">IF((2063-Inputs!$B$51-Inputs!$B$9)&lt;0,0,IF((2063-Inputs!$B$51-Inputs!$B$9)=0,Inputs!$B$151*Inputs!$B$52,IF((2063-Inputs!$B$51-Inputs!$B$9)=1,Inputs!$B$151,IF((2063-Inputs!$B$51-Inputs!$B$9)=2,Inputs!$C$151,Inputs!$D$151*(1+Inputs!$B$159)^INT(((2063-Inputs!$B$51-Inputs!$B$9)-3)/3)))))*Inputs!$B$148*Inputs!$B$8</f>
        <v>11.1066164869077</v>
      </c>
      <c r="AP26" s="41" t="n">
        <f aca="false">IF((2064-Inputs!$B$51-Inputs!$B$9)&lt;0,0,IF((2064-Inputs!$B$51-Inputs!$B$9)=0,Inputs!$B$151*Inputs!$B$52,IF((2064-Inputs!$B$51-Inputs!$B$9)=1,Inputs!$B$151,IF((2064-Inputs!$B$51-Inputs!$B$9)=2,Inputs!$C$151,Inputs!$D$151*(1+Inputs!$B$159)^INT(((2064-Inputs!$B$51-Inputs!$B$9)-3)/3)))))*Inputs!$B$148*Inputs!$B$8</f>
        <v>12.2172781355985</v>
      </c>
      <c r="AQ26" s="41" t="n">
        <f aca="false">IF((2065-Inputs!$B$51-Inputs!$B$9)&lt;0,0,IF((2065-Inputs!$B$51-Inputs!$B$9)=0,Inputs!$B$151*Inputs!$B$52,IF((2065-Inputs!$B$51-Inputs!$B$9)=1,Inputs!$B$151,IF((2065-Inputs!$B$51-Inputs!$B$9)=2,Inputs!$C$151,Inputs!$D$151*(1+Inputs!$B$159)^INT(((2065-Inputs!$B$51-Inputs!$B$9)-3)/3)))))*Inputs!$B$148*Inputs!$B$8</f>
        <v>12.2172781355985</v>
      </c>
      <c r="AR26" s="41" t="n">
        <f aca="false">IF((2066-Inputs!$B$51-Inputs!$B$9)&lt;0,0,IF((2066-Inputs!$B$51-Inputs!$B$9)=0,Inputs!$B$151*Inputs!$B$52,IF((2066-Inputs!$B$51-Inputs!$B$9)=1,Inputs!$B$151,IF((2066-Inputs!$B$51-Inputs!$B$9)=2,Inputs!$C$151,Inputs!$D$151*(1+Inputs!$B$159)^INT(((2066-Inputs!$B$51-Inputs!$B$9)-3)/3)))))*Inputs!$B$148*Inputs!$B$8</f>
        <v>12.2172781355985</v>
      </c>
      <c r="AS26" s="41" t="n">
        <f aca="false">IF((2067-Inputs!$B$51-Inputs!$B$9)&lt;0,0,IF((2067-Inputs!$B$51-Inputs!$B$9)=0,Inputs!$B$151*Inputs!$B$52,IF((2067-Inputs!$B$51-Inputs!$B$9)=1,Inputs!$B$151,IF((2067-Inputs!$B$51-Inputs!$B$9)=2,Inputs!$C$151,Inputs!$D$151*(1+Inputs!$B$159)^INT(((2067-Inputs!$B$51-Inputs!$B$9)-3)/3)))))*Inputs!$B$148*Inputs!$B$8</f>
        <v>13.4390059491584</v>
      </c>
      <c r="AT26" s="41" t="n">
        <f aca="false">IF((2068-Inputs!$B$51-Inputs!$B$9)&lt;0,0,IF((2068-Inputs!$B$51-Inputs!$B$9)=0,Inputs!$B$151*Inputs!$B$52,IF((2068-Inputs!$B$51-Inputs!$B$9)=1,Inputs!$B$151,IF((2068-Inputs!$B$51-Inputs!$B$9)=2,Inputs!$C$151,Inputs!$D$151*(1+Inputs!$B$159)^INT(((2068-Inputs!$B$51-Inputs!$B$9)-3)/3)))))*Inputs!$B$148*Inputs!$B$8</f>
        <v>13.4390059491584</v>
      </c>
      <c r="AU26" s="41" t="n">
        <f aca="false">IF((2069-Inputs!$B$51-Inputs!$B$9)&lt;0,0,IF((2069-Inputs!$B$51-Inputs!$B$9)=0,Inputs!$B$151*Inputs!$B$52,IF((2069-Inputs!$B$51-Inputs!$B$9)=1,Inputs!$B$151,IF((2069-Inputs!$B$51-Inputs!$B$9)=2,Inputs!$C$151,Inputs!$D$151*(1+Inputs!$B$159)^INT(((2069-Inputs!$B$51-Inputs!$B$9)-3)/3)))))*Inputs!$B$148*Inputs!$B$8</f>
        <v>13.4390059491584</v>
      </c>
      <c r="AV26" s="41" t="n">
        <f aca="false">IF((2070-Inputs!$B$51-Inputs!$B$9)&lt;0,0,IF((2070-Inputs!$B$51-Inputs!$B$9)=0,Inputs!$B$151*Inputs!$B$52,IF((2070-Inputs!$B$51-Inputs!$B$9)=1,Inputs!$B$151,IF((2070-Inputs!$B$51-Inputs!$B$9)=2,Inputs!$C$151,Inputs!$D$151*(1+Inputs!$B$159)^INT(((2070-Inputs!$B$51-Inputs!$B$9)-3)/3)))))*Inputs!$B$148*Inputs!$B$8</f>
        <v>14.7829065440742</v>
      </c>
      <c r="AW26" s="41" t="n">
        <f aca="false">IF((2071-Inputs!$B$51-Inputs!$B$9)&lt;0,0,IF((2071-Inputs!$B$51-Inputs!$B$9)=0,Inputs!$B$151*Inputs!$B$52,IF((2071-Inputs!$B$51-Inputs!$B$9)=1,Inputs!$B$151,IF((2071-Inputs!$B$51-Inputs!$B$9)=2,Inputs!$C$151,Inputs!$D$151*(1+Inputs!$B$159)^INT(((2071-Inputs!$B$51-Inputs!$B$9)-3)/3)))))*Inputs!$B$148*Inputs!$B$8</f>
        <v>14.7829065440742</v>
      </c>
      <c r="AX26" s="41" t="n">
        <f aca="false">IF((2072-Inputs!$B$51-Inputs!$B$9)&lt;0,0,IF((2072-Inputs!$B$51-Inputs!$B$9)=0,Inputs!$B$151*Inputs!$B$52,IF((2072-Inputs!$B$51-Inputs!$B$9)=1,Inputs!$B$151,IF((2072-Inputs!$B$51-Inputs!$B$9)=2,Inputs!$C$151,Inputs!$D$151*(1+Inputs!$B$159)^INT(((2072-Inputs!$B$51-Inputs!$B$9)-3)/3)))))*Inputs!$B$148*Inputs!$B$8</f>
        <v>14.7829065440742</v>
      </c>
      <c r="AY26" s="41" t="n">
        <f aca="false">IF((2073-Inputs!$B$51-Inputs!$B$9)&lt;0,0,IF((2073-Inputs!$B$51-Inputs!$B$9)=0,Inputs!$B$151*Inputs!$B$52,IF((2073-Inputs!$B$51-Inputs!$B$9)=1,Inputs!$B$151,IF((2073-Inputs!$B$51-Inputs!$B$9)=2,Inputs!$C$151,Inputs!$D$151*(1+Inputs!$B$159)^INT(((2073-Inputs!$B$51-Inputs!$B$9)-3)/3)))))*Inputs!$B$148*Inputs!$B$8</f>
        <v>16.2611971984816</v>
      </c>
      <c r="AZ26" s="41" t="n">
        <f aca="false">IF((2074-Inputs!$B$51-Inputs!$B$9)&lt;0,0,IF((2074-Inputs!$B$51-Inputs!$B$9)=0,Inputs!$B$151*Inputs!$B$52,IF((2074-Inputs!$B$51-Inputs!$B$9)=1,Inputs!$B$151,IF((2074-Inputs!$B$51-Inputs!$B$9)=2,Inputs!$C$151,Inputs!$D$151*(1+Inputs!$B$159)^INT(((2074-Inputs!$B$51-Inputs!$B$9)-3)/3)))))*Inputs!$B$148*Inputs!$B$8</f>
        <v>16.2611971984816</v>
      </c>
    </row>
    <row r="27" customFormat="false" ht="15" hidden="false" customHeight="true" outlineLevel="0" collapsed="false">
      <c r="A27" s="13" t="s">
        <v>635</v>
      </c>
      <c r="B27" s="15" t="s">
        <v>633</v>
      </c>
      <c r="C27" s="41" t="n">
        <f aca="false">SUM(D27:AZ27)</f>
        <v>485.690292067353</v>
      </c>
      <c r="D27" s="41" t="n">
        <f aca="false">IF((2026-Inputs!$B$51-Inputs!$B$9)&lt;0,0,IF((2026-Inputs!$B$51-Inputs!$B$9)=0,Inputs!$B$152*Inputs!$B$52,IF((2026-Inputs!$B$51-Inputs!$B$9)=1,Inputs!$B$152,IF((2026-Inputs!$B$51-Inputs!$B$9)=2,Inputs!$C$152,Inputs!$D$152*(1+Inputs!$B$159)^INT(((2026-Inputs!$B$51-Inputs!$B$9)-3)/3)))))*Inputs!$B$148*Inputs!$B$8</f>
        <v>0</v>
      </c>
      <c r="E27" s="41" t="n">
        <f aca="false">IF((2027-Inputs!$B$51-Inputs!$B$9)&lt;0,0,IF((2027-Inputs!$B$51-Inputs!$B$9)=0,Inputs!$B$152*Inputs!$B$52,IF((2027-Inputs!$B$51-Inputs!$B$9)=1,Inputs!$B$152,IF((2027-Inputs!$B$51-Inputs!$B$9)=2,Inputs!$C$152,Inputs!$D$152*(1+Inputs!$B$159)^INT(((2027-Inputs!$B$51-Inputs!$B$9)-3)/3)))))*Inputs!$B$148*Inputs!$B$8</f>
        <v>0</v>
      </c>
      <c r="F27" s="41" t="n">
        <f aca="false">IF((2028-Inputs!$B$51-Inputs!$B$9)&lt;0,0,IF((2028-Inputs!$B$51-Inputs!$B$9)=0,Inputs!$B$152*Inputs!$B$52,IF((2028-Inputs!$B$51-Inputs!$B$9)=1,Inputs!$B$152,IF((2028-Inputs!$B$51-Inputs!$B$9)=2,Inputs!$C$152,Inputs!$D$152*(1+Inputs!$B$159)^INT(((2028-Inputs!$B$51-Inputs!$B$9)-3)/3)))))*Inputs!$B$148*Inputs!$B$8</f>
        <v>0.815879860878545</v>
      </c>
      <c r="G27" s="41" t="n">
        <f aca="false">IF((2029-Inputs!$B$51-Inputs!$B$9)&lt;0,0,IF((2029-Inputs!$B$51-Inputs!$B$9)=0,Inputs!$B$152*Inputs!$B$52,IF((2029-Inputs!$B$51-Inputs!$B$9)=1,Inputs!$B$152,IF((2029-Inputs!$B$51-Inputs!$B$9)=2,Inputs!$C$152,Inputs!$D$152*(1+Inputs!$B$159)^INT(((2029-Inputs!$B$51-Inputs!$B$9)-3)/3)))))*Inputs!$B$148*Inputs!$B$8</f>
        <v>3.26351944351418</v>
      </c>
      <c r="H27" s="41" t="n">
        <f aca="false">IF((2030-Inputs!$B$51-Inputs!$B$9)&lt;0,0,IF((2030-Inputs!$B$51-Inputs!$B$9)=0,Inputs!$B$152*Inputs!$B$52,IF((2030-Inputs!$B$51-Inputs!$B$9)=1,Inputs!$B$152,IF((2030-Inputs!$B$51-Inputs!$B$9)=2,Inputs!$C$152,Inputs!$D$152*(1+Inputs!$B$159)^INT(((2030-Inputs!$B$51-Inputs!$B$9)-3)/3)))))*Inputs!$B$148*Inputs!$B$8</f>
        <v>4.2936354607035</v>
      </c>
      <c r="I27" s="41" t="n">
        <f aca="false">IF((2031-Inputs!$B$51-Inputs!$B$9)&lt;0,0,IF((2031-Inputs!$B$51-Inputs!$B$9)=0,Inputs!$B$152*Inputs!$B$52,IF((2031-Inputs!$B$51-Inputs!$B$9)=1,Inputs!$B$152,IF((2031-Inputs!$B$51-Inputs!$B$9)=2,Inputs!$C$152,Inputs!$D$152*(1+Inputs!$B$159)^INT(((2031-Inputs!$B$51-Inputs!$B$9)-3)/3)))))*Inputs!$B$148*Inputs!$B$8</f>
        <v>5.21544509443014</v>
      </c>
      <c r="J27" s="41" t="n">
        <f aca="false">IF((2032-Inputs!$B$51-Inputs!$B$9)&lt;0,0,IF((2032-Inputs!$B$51-Inputs!$B$9)=0,Inputs!$B$152*Inputs!$B$52,IF((2032-Inputs!$B$51-Inputs!$B$9)=1,Inputs!$B$152,IF((2032-Inputs!$B$51-Inputs!$B$9)=2,Inputs!$C$152,Inputs!$D$152*(1+Inputs!$B$159)^INT(((2032-Inputs!$B$51-Inputs!$B$9)-3)/3)))))*Inputs!$B$148*Inputs!$B$8</f>
        <v>5.21544509443014</v>
      </c>
      <c r="K27" s="41" t="n">
        <f aca="false">IF((2033-Inputs!$B$51-Inputs!$B$9)&lt;0,0,IF((2033-Inputs!$B$51-Inputs!$B$9)=0,Inputs!$B$152*Inputs!$B$52,IF((2033-Inputs!$B$51-Inputs!$B$9)=1,Inputs!$B$152,IF((2033-Inputs!$B$51-Inputs!$B$9)=2,Inputs!$C$152,Inputs!$D$152*(1+Inputs!$B$159)^INT(((2033-Inputs!$B$51-Inputs!$B$9)-3)/3)))))*Inputs!$B$148*Inputs!$B$8</f>
        <v>5.21544509443014</v>
      </c>
      <c r="L27" s="41" t="n">
        <f aca="false">IF((2034-Inputs!$B$51-Inputs!$B$9)&lt;0,0,IF((2034-Inputs!$B$51-Inputs!$B$9)=0,Inputs!$B$152*Inputs!$B$52,IF((2034-Inputs!$B$51-Inputs!$B$9)=1,Inputs!$B$152,IF((2034-Inputs!$B$51-Inputs!$B$9)=2,Inputs!$C$152,Inputs!$D$152*(1+Inputs!$B$159)^INT(((2034-Inputs!$B$51-Inputs!$B$9)-3)/3)))))*Inputs!$B$148*Inputs!$B$8</f>
        <v>5.73698960387316</v>
      </c>
      <c r="M27" s="41" t="n">
        <f aca="false">IF((2035-Inputs!$B$51-Inputs!$B$9)&lt;0,0,IF((2035-Inputs!$B$51-Inputs!$B$9)=0,Inputs!$B$152*Inputs!$B$52,IF((2035-Inputs!$B$51-Inputs!$B$9)=1,Inputs!$B$152,IF((2035-Inputs!$B$51-Inputs!$B$9)=2,Inputs!$C$152,Inputs!$D$152*(1+Inputs!$B$159)^INT(((2035-Inputs!$B$51-Inputs!$B$9)-3)/3)))))*Inputs!$B$148*Inputs!$B$8</f>
        <v>5.73698960387316</v>
      </c>
      <c r="N27" s="41" t="n">
        <f aca="false">IF((2036-Inputs!$B$51-Inputs!$B$9)&lt;0,0,IF((2036-Inputs!$B$51-Inputs!$B$9)=0,Inputs!$B$152*Inputs!$B$52,IF((2036-Inputs!$B$51-Inputs!$B$9)=1,Inputs!$B$152,IF((2036-Inputs!$B$51-Inputs!$B$9)=2,Inputs!$C$152,Inputs!$D$152*(1+Inputs!$B$159)^INT(((2036-Inputs!$B$51-Inputs!$B$9)-3)/3)))))*Inputs!$B$148*Inputs!$B$8</f>
        <v>5.73698960387316</v>
      </c>
      <c r="O27" s="41" t="n">
        <f aca="false">IF((2037-Inputs!$B$51-Inputs!$B$9)&lt;0,0,IF((2037-Inputs!$B$51-Inputs!$B$9)=0,Inputs!$B$152*Inputs!$B$52,IF((2037-Inputs!$B$51-Inputs!$B$9)=1,Inputs!$B$152,IF((2037-Inputs!$B$51-Inputs!$B$9)=2,Inputs!$C$152,Inputs!$D$152*(1+Inputs!$B$159)^INT(((2037-Inputs!$B$51-Inputs!$B$9)-3)/3)))))*Inputs!$B$148*Inputs!$B$8</f>
        <v>6.31068856426047</v>
      </c>
      <c r="P27" s="41" t="n">
        <f aca="false">IF((2038-Inputs!$B$51-Inputs!$B$9)&lt;0,0,IF((2038-Inputs!$B$51-Inputs!$B$9)=0,Inputs!$B$152*Inputs!$B$52,IF((2038-Inputs!$B$51-Inputs!$B$9)=1,Inputs!$B$152,IF((2038-Inputs!$B$51-Inputs!$B$9)=2,Inputs!$C$152,Inputs!$D$152*(1+Inputs!$B$159)^INT(((2038-Inputs!$B$51-Inputs!$B$9)-3)/3)))))*Inputs!$B$148*Inputs!$B$8</f>
        <v>6.31068856426047</v>
      </c>
      <c r="Q27" s="41" t="n">
        <f aca="false">IF((2039-Inputs!$B$51-Inputs!$B$9)&lt;0,0,IF((2039-Inputs!$B$51-Inputs!$B$9)=0,Inputs!$B$152*Inputs!$B$52,IF((2039-Inputs!$B$51-Inputs!$B$9)=1,Inputs!$B$152,IF((2039-Inputs!$B$51-Inputs!$B$9)=2,Inputs!$C$152,Inputs!$D$152*(1+Inputs!$B$159)^INT(((2039-Inputs!$B$51-Inputs!$B$9)-3)/3)))))*Inputs!$B$148*Inputs!$B$8</f>
        <v>6.31068856426047</v>
      </c>
      <c r="R27" s="41" t="n">
        <f aca="false">IF((2040-Inputs!$B$51-Inputs!$B$9)&lt;0,0,IF((2040-Inputs!$B$51-Inputs!$B$9)=0,Inputs!$B$152*Inputs!$B$52,IF((2040-Inputs!$B$51-Inputs!$B$9)=1,Inputs!$B$152,IF((2040-Inputs!$B$51-Inputs!$B$9)=2,Inputs!$C$152,Inputs!$D$152*(1+Inputs!$B$159)^INT(((2040-Inputs!$B$51-Inputs!$B$9)-3)/3)))))*Inputs!$B$148*Inputs!$B$8</f>
        <v>6.94175742068652</v>
      </c>
      <c r="S27" s="41" t="n">
        <f aca="false">IF((2041-Inputs!$B$51-Inputs!$B$9)&lt;0,0,IF((2041-Inputs!$B$51-Inputs!$B$9)=0,Inputs!$B$152*Inputs!$B$52,IF((2041-Inputs!$B$51-Inputs!$B$9)=1,Inputs!$B$152,IF((2041-Inputs!$B$51-Inputs!$B$9)=2,Inputs!$C$152,Inputs!$D$152*(1+Inputs!$B$159)^INT(((2041-Inputs!$B$51-Inputs!$B$9)-3)/3)))))*Inputs!$B$148*Inputs!$B$8</f>
        <v>6.94175742068652</v>
      </c>
      <c r="T27" s="41" t="n">
        <f aca="false">IF((2042-Inputs!$B$51-Inputs!$B$9)&lt;0,0,IF((2042-Inputs!$B$51-Inputs!$B$9)=0,Inputs!$B$152*Inputs!$B$52,IF((2042-Inputs!$B$51-Inputs!$B$9)=1,Inputs!$B$152,IF((2042-Inputs!$B$51-Inputs!$B$9)=2,Inputs!$C$152,Inputs!$D$152*(1+Inputs!$B$159)^INT(((2042-Inputs!$B$51-Inputs!$B$9)-3)/3)))))*Inputs!$B$148*Inputs!$B$8</f>
        <v>6.94175742068652</v>
      </c>
      <c r="U27" s="41" t="n">
        <f aca="false">IF((2043-Inputs!$B$51-Inputs!$B$9)&lt;0,0,IF((2043-Inputs!$B$51-Inputs!$B$9)=0,Inputs!$B$152*Inputs!$B$52,IF((2043-Inputs!$B$51-Inputs!$B$9)=1,Inputs!$B$152,IF((2043-Inputs!$B$51-Inputs!$B$9)=2,Inputs!$C$152,Inputs!$D$152*(1+Inputs!$B$159)^INT(((2043-Inputs!$B$51-Inputs!$B$9)-3)/3)))))*Inputs!$B$148*Inputs!$B$8</f>
        <v>7.63593316275517</v>
      </c>
      <c r="V27" s="41" t="n">
        <f aca="false">IF((2044-Inputs!$B$51-Inputs!$B$9)&lt;0,0,IF((2044-Inputs!$B$51-Inputs!$B$9)=0,Inputs!$B$152*Inputs!$B$52,IF((2044-Inputs!$B$51-Inputs!$B$9)=1,Inputs!$B$152,IF((2044-Inputs!$B$51-Inputs!$B$9)=2,Inputs!$C$152,Inputs!$D$152*(1+Inputs!$B$159)^INT(((2044-Inputs!$B$51-Inputs!$B$9)-3)/3)))))*Inputs!$B$148*Inputs!$B$8</f>
        <v>7.63593316275517</v>
      </c>
      <c r="W27" s="41" t="n">
        <f aca="false">IF((2045-Inputs!$B$51-Inputs!$B$9)&lt;0,0,IF((2045-Inputs!$B$51-Inputs!$B$9)=0,Inputs!$B$152*Inputs!$B$52,IF((2045-Inputs!$B$51-Inputs!$B$9)=1,Inputs!$B$152,IF((2045-Inputs!$B$51-Inputs!$B$9)=2,Inputs!$C$152,Inputs!$D$152*(1+Inputs!$B$159)^INT(((2045-Inputs!$B$51-Inputs!$B$9)-3)/3)))))*Inputs!$B$148*Inputs!$B$8</f>
        <v>7.63593316275517</v>
      </c>
      <c r="X27" s="41" t="n">
        <f aca="false">IF((2046-Inputs!$B$51-Inputs!$B$9)&lt;0,0,IF((2046-Inputs!$B$51-Inputs!$B$9)=0,Inputs!$B$152*Inputs!$B$52,IF((2046-Inputs!$B$51-Inputs!$B$9)=1,Inputs!$B$152,IF((2046-Inputs!$B$51-Inputs!$B$9)=2,Inputs!$C$152,Inputs!$D$152*(1+Inputs!$B$159)^INT(((2046-Inputs!$B$51-Inputs!$B$9)-3)/3)))))*Inputs!$B$148*Inputs!$B$8</f>
        <v>8.39952647903069</v>
      </c>
      <c r="Y27" s="41" t="n">
        <f aca="false">IF((2047-Inputs!$B$51-Inputs!$B$9)&lt;0,0,IF((2047-Inputs!$B$51-Inputs!$B$9)=0,Inputs!$B$152*Inputs!$B$52,IF((2047-Inputs!$B$51-Inputs!$B$9)=1,Inputs!$B$152,IF((2047-Inputs!$B$51-Inputs!$B$9)=2,Inputs!$C$152,Inputs!$D$152*(1+Inputs!$B$159)^INT(((2047-Inputs!$B$51-Inputs!$B$9)-3)/3)))))*Inputs!$B$148*Inputs!$B$8</f>
        <v>8.39952647903069</v>
      </c>
      <c r="Z27" s="41" t="n">
        <f aca="false">IF((2048-Inputs!$B$51-Inputs!$B$9)&lt;0,0,IF((2048-Inputs!$B$51-Inputs!$B$9)=0,Inputs!$B$152*Inputs!$B$52,IF((2048-Inputs!$B$51-Inputs!$B$9)=1,Inputs!$B$152,IF((2048-Inputs!$B$51-Inputs!$B$9)=2,Inputs!$C$152,Inputs!$D$152*(1+Inputs!$B$159)^INT(((2048-Inputs!$B$51-Inputs!$B$9)-3)/3)))))*Inputs!$B$148*Inputs!$B$8</f>
        <v>8.39952647903069</v>
      </c>
      <c r="AA27" s="41" t="n">
        <f aca="false">IF((2049-Inputs!$B$51-Inputs!$B$9)&lt;0,0,IF((2049-Inputs!$B$51-Inputs!$B$9)=0,Inputs!$B$152*Inputs!$B$52,IF((2049-Inputs!$B$51-Inputs!$B$9)=1,Inputs!$B$152,IF((2049-Inputs!$B$51-Inputs!$B$9)=2,Inputs!$C$152,Inputs!$D$152*(1+Inputs!$B$159)^INT(((2049-Inputs!$B$51-Inputs!$B$9)-3)/3)))))*Inputs!$B$148*Inputs!$B$8</f>
        <v>9.23947912693376</v>
      </c>
      <c r="AB27" s="41" t="n">
        <f aca="false">IF((2050-Inputs!$B$51-Inputs!$B$9)&lt;0,0,IF((2050-Inputs!$B$51-Inputs!$B$9)=0,Inputs!$B$152*Inputs!$B$52,IF((2050-Inputs!$B$51-Inputs!$B$9)=1,Inputs!$B$152,IF((2050-Inputs!$B$51-Inputs!$B$9)=2,Inputs!$C$152,Inputs!$D$152*(1+Inputs!$B$159)^INT(((2050-Inputs!$B$51-Inputs!$B$9)-3)/3)))))*Inputs!$B$148*Inputs!$B$8</f>
        <v>9.23947912693376</v>
      </c>
      <c r="AC27" s="41" t="n">
        <f aca="false">IF((2051-Inputs!$B$51-Inputs!$B$9)&lt;0,0,IF((2051-Inputs!$B$51-Inputs!$B$9)=0,Inputs!$B$152*Inputs!$B$52,IF((2051-Inputs!$B$51-Inputs!$B$9)=1,Inputs!$B$152,IF((2051-Inputs!$B$51-Inputs!$B$9)=2,Inputs!$C$152,Inputs!$D$152*(1+Inputs!$B$159)^INT(((2051-Inputs!$B$51-Inputs!$B$9)-3)/3)))))*Inputs!$B$148*Inputs!$B$8</f>
        <v>9.23947912693376</v>
      </c>
      <c r="AD27" s="41" t="n">
        <f aca="false">IF((2052-Inputs!$B$51-Inputs!$B$9)&lt;0,0,IF((2052-Inputs!$B$51-Inputs!$B$9)=0,Inputs!$B$152*Inputs!$B$52,IF((2052-Inputs!$B$51-Inputs!$B$9)=1,Inputs!$B$152,IF((2052-Inputs!$B$51-Inputs!$B$9)=2,Inputs!$C$152,Inputs!$D$152*(1+Inputs!$B$159)^INT(((2052-Inputs!$B$51-Inputs!$B$9)-3)/3)))))*Inputs!$B$148*Inputs!$B$8</f>
        <v>10.1634270396271</v>
      </c>
      <c r="AE27" s="41" t="n">
        <f aca="false">IF((2053-Inputs!$B$51-Inputs!$B$9)&lt;0,0,IF((2053-Inputs!$B$51-Inputs!$B$9)=0,Inputs!$B$152*Inputs!$B$52,IF((2053-Inputs!$B$51-Inputs!$B$9)=1,Inputs!$B$152,IF((2053-Inputs!$B$51-Inputs!$B$9)=2,Inputs!$C$152,Inputs!$D$152*(1+Inputs!$B$159)^INT(((2053-Inputs!$B$51-Inputs!$B$9)-3)/3)))))*Inputs!$B$148*Inputs!$B$8</f>
        <v>10.1634270396271</v>
      </c>
      <c r="AF27" s="41" t="n">
        <f aca="false">IF((2054-Inputs!$B$51-Inputs!$B$9)&lt;0,0,IF((2054-Inputs!$B$51-Inputs!$B$9)=0,Inputs!$B$152*Inputs!$B$52,IF((2054-Inputs!$B$51-Inputs!$B$9)=1,Inputs!$B$152,IF((2054-Inputs!$B$51-Inputs!$B$9)=2,Inputs!$C$152,Inputs!$D$152*(1+Inputs!$B$159)^INT(((2054-Inputs!$B$51-Inputs!$B$9)-3)/3)))))*Inputs!$B$148*Inputs!$B$8</f>
        <v>10.1634270396271</v>
      </c>
      <c r="AG27" s="41" t="n">
        <f aca="false">IF((2055-Inputs!$B$51-Inputs!$B$9)&lt;0,0,IF((2055-Inputs!$B$51-Inputs!$B$9)=0,Inputs!$B$152*Inputs!$B$52,IF((2055-Inputs!$B$51-Inputs!$B$9)=1,Inputs!$B$152,IF((2055-Inputs!$B$51-Inputs!$B$9)=2,Inputs!$C$152,Inputs!$D$152*(1+Inputs!$B$159)^INT(((2055-Inputs!$B$51-Inputs!$B$9)-3)/3)))))*Inputs!$B$148*Inputs!$B$8</f>
        <v>11.1797697435899</v>
      </c>
      <c r="AH27" s="41" t="n">
        <f aca="false">IF((2056-Inputs!$B$51-Inputs!$B$9)&lt;0,0,IF((2056-Inputs!$B$51-Inputs!$B$9)=0,Inputs!$B$152*Inputs!$B$52,IF((2056-Inputs!$B$51-Inputs!$B$9)=1,Inputs!$B$152,IF((2056-Inputs!$B$51-Inputs!$B$9)=2,Inputs!$C$152,Inputs!$D$152*(1+Inputs!$B$159)^INT(((2056-Inputs!$B$51-Inputs!$B$9)-3)/3)))))*Inputs!$B$148*Inputs!$B$8</f>
        <v>11.1797697435899</v>
      </c>
      <c r="AI27" s="41" t="n">
        <f aca="false">IF((2057-Inputs!$B$51-Inputs!$B$9)&lt;0,0,IF((2057-Inputs!$B$51-Inputs!$B$9)=0,Inputs!$B$152*Inputs!$B$52,IF((2057-Inputs!$B$51-Inputs!$B$9)=1,Inputs!$B$152,IF((2057-Inputs!$B$51-Inputs!$B$9)=2,Inputs!$C$152,Inputs!$D$152*(1+Inputs!$B$159)^INT(((2057-Inputs!$B$51-Inputs!$B$9)-3)/3)))))*Inputs!$B$148*Inputs!$B$8</f>
        <v>11.1797697435899</v>
      </c>
      <c r="AJ27" s="41" t="n">
        <f aca="false">IF((2058-Inputs!$B$51-Inputs!$B$9)&lt;0,0,IF((2058-Inputs!$B$51-Inputs!$B$9)=0,Inputs!$B$152*Inputs!$B$52,IF((2058-Inputs!$B$51-Inputs!$B$9)=1,Inputs!$B$152,IF((2058-Inputs!$B$51-Inputs!$B$9)=2,Inputs!$C$152,Inputs!$D$152*(1+Inputs!$B$159)^INT(((2058-Inputs!$B$51-Inputs!$B$9)-3)/3)))))*Inputs!$B$148*Inputs!$B$8</f>
        <v>12.2977467179488</v>
      </c>
      <c r="AK27" s="41" t="n">
        <f aca="false">IF((2059-Inputs!$B$51-Inputs!$B$9)&lt;0,0,IF((2059-Inputs!$B$51-Inputs!$B$9)=0,Inputs!$B$152*Inputs!$B$52,IF((2059-Inputs!$B$51-Inputs!$B$9)=1,Inputs!$B$152,IF((2059-Inputs!$B$51-Inputs!$B$9)=2,Inputs!$C$152,Inputs!$D$152*(1+Inputs!$B$159)^INT(((2059-Inputs!$B$51-Inputs!$B$9)-3)/3)))))*Inputs!$B$148*Inputs!$B$8</f>
        <v>12.2977467179488</v>
      </c>
      <c r="AL27" s="41" t="n">
        <f aca="false">IF((2060-Inputs!$B$51-Inputs!$B$9)&lt;0,0,IF((2060-Inputs!$B$51-Inputs!$B$9)=0,Inputs!$B$152*Inputs!$B$52,IF((2060-Inputs!$B$51-Inputs!$B$9)=1,Inputs!$B$152,IF((2060-Inputs!$B$51-Inputs!$B$9)=2,Inputs!$C$152,Inputs!$D$152*(1+Inputs!$B$159)^INT(((2060-Inputs!$B$51-Inputs!$B$9)-3)/3)))))*Inputs!$B$148*Inputs!$B$8</f>
        <v>12.2977467179488</v>
      </c>
      <c r="AM27" s="41" t="n">
        <f aca="false">IF((2061-Inputs!$B$51-Inputs!$B$9)&lt;0,0,IF((2061-Inputs!$B$51-Inputs!$B$9)=0,Inputs!$B$152*Inputs!$B$52,IF((2061-Inputs!$B$51-Inputs!$B$9)=1,Inputs!$B$152,IF((2061-Inputs!$B$51-Inputs!$B$9)=2,Inputs!$C$152,Inputs!$D$152*(1+Inputs!$B$159)^INT(((2061-Inputs!$B$51-Inputs!$B$9)-3)/3)))))*Inputs!$B$148*Inputs!$B$8</f>
        <v>13.5275213897437</v>
      </c>
      <c r="AN27" s="41" t="n">
        <f aca="false">IF((2062-Inputs!$B$51-Inputs!$B$9)&lt;0,0,IF((2062-Inputs!$B$51-Inputs!$B$9)=0,Inputs!$B$152*Inputs!$B$52,IF((2062-Inputs!$B$51-Inputs!$B$9)=1,Inputs!$B$152,IF((2062-Inputs!$B$51-Inputs!$B$9)=2,Inputs!$C$152,Inputs!$D$152*(1+Inputs!$B$159)^INT(((2062-Inputs!$B$51-Inputs!$B$9)-3)/3)))))*Inputs!$B$148*Inputs!$B$8</f>
        <v>13.5275213897437</v>
      </c>
      <c r="AO27" s="41" t="n">
        <f aca="false">IF((2063-Inputs!$B$51-Inputs!$B$9)&lt;0,0,IF((2063-Inputs!$B$51-Inputs!$B$9)=0,Inputs!$B$152*Inputs!$B$52,IF((2063-Inputs!$B$51-Inputs!$B$9)=1,Inputs!$B$152,IF((2063-Inputs!$B$51-Inputs!$B$9)=2,Inputs!$C$152,Inputs!$D$152*(1+Inputs!$B$159)^INT(((2063-Inputs!$B$51-Inputs!$B$9)-3)/3)))))*Inputs!$B$148*Inputs!$B$8</f>
        <v>13.5275213897437</v>
      </c>
      <c r="AP27" s="41" t="n">
        <f aca="false">IF((2064-Inputs!$B$51-Inputs!$B$9)&lt;0,0,IF((2064-Inputs!$B$51-Inputs!$B$9)=0,Inputs!$B$152*Inputs!$B$52,IF((2064-Inputs!$B$51-Inputs!$B$9)=1,Inputs!$B$152,IF((2064-Inputs!$B$51-Inputs!$B$9)=2,Inputs!$C$152,Inputs!$D$152*(1+Inputs!$B$159)^INT(((2064-Inputs!$B$51-Inputs!$B$9)-3)/3)))))*Inputs!$B$148*Inputs!$B$8</f>
        <v>14.8802735287181</v>
      </c>
      <c r="AQ27" s="41" t="n">
        <f aca="false">IF((2065-Inputs!$B$51-Inputs!$B$9)&lt;0,0,IF((2065-Inputs!$B$51-Inputs!$B$9)=0,Inputs!$B$152*Inputs!$B$52,IF((2065-Inputs!$B$51-Inputs!$B$9)=1,Inputs!$B$152,IF((2065-Inputs!$B$51-Inputs!$B$9)=2,Inputs!$C$152,Inputs!$D$152*(1+Inputs!$B$159)^INT(((2065-Inputs!$B$51-Inputs!$B$9)-3)/3)))))*Inputs!$B$148*Inputs!$B$8</f>
        <v>14.8802735287181</v>
      </c>
      <c r="AR27" s="41" t="n">
        <f aca="false">IF((2066-Inputs!$B$51-Inputs!$B$9)&lt;0,0,IF((2066-Inputs!$B$51-Inputs!$B$9)=0,Inputs!$B$152*Inputs!$B$52,IF((2066-Inputs!$B$51-Inputs!$B$9)=1,Inputs!$B$152,IF((2066-Inputs!$B$51-Inputs!$B$9)=2,Inputs!$C$152,Inputs!$D$152*(1+Inputs!$B$159)^INT(((2066-Inputs!$B$51-Inputs!$B$9)-3)/3)))))*Inputs!$B$148*Inputs!$B$8</f>
        <v>14.8802735287181</v>
      </c>
      <c r="AS27" s="41" t="n">
        <f aca="false">IF((2067-Inputs!$B$51-Inputs!$B$9)&lt;0,0,IF((2067-Inputs!$B$51-Inputs!$B$9)=0,Inputs!$B$152*Inputs!$B$52,IF((2067-Inputs!$B$51-Inputs!$B$9)=1,Inputs!$B$152,IF((2067-Inputs!$B$51-Inputs!$B$9)=2,Inputs!$C$152,Inputs!$D$152*(1+Inputs!$B$159)^INT(((2067-Inputs!$B$51-Inputs!$B$9)-3)/3)))))*Inputs!$B$148*Inputs!$B$8</f>
        <v>16.3683008815899</v>
      </c>
      <c r="AT27" s="41" t="n">
        <f aca="false">IF((2068-Inputs!$B$51-Inputs!$B$9)&lt;0,0,IF((2068-Inputs!$B$51-Inputs!$B$9)=0,Inputs!$B$152*Inputs!$B$52,IF((2068-Inputs!$B$51-Inputs!$B$9)=1,Inputs!$B$152,IF((2068-Inputs!$B$51-Inputs!$B$9)=2,Inputs!$C$152,Inputs!$D$152*(1+Inputs!$B$159)^INT(((2068-Inputs!$B$51-Inputs!$B$9)-3)/3)))))*Inputs!$B$148*Inputs!$B$8</f>
        <v>16.3683008815899</v>
      </c>
      <c r="AU27" s="41" t="n">
        <f aca="false">IF((2069-Inputs!$B$51-Inputs!$B$9)&lt;0,0,IF((2069-Inputs!$B$51-Inputs!$B$9)=0,Inputs!$B$152*Inputs!$B$52,IF((2069-Inputs!$B$51-Inputs!$B$9)=1,Inputs!$B$152,IF((2069-Inputs!$B$51-Inputs!$B$9)=2,Inputs!$C$152,Inputs!$D$152*(1+Inputs!$B$159)^INT(((2069-Inputs!$B$51-Inputs!$B$9)-3)/3)))))*Inputs!$B$148*Inputs!$B$8</f>
        <v>16.3683008815899</v>
      </c>
      <c r="AV27" s="41" t="n">
        <f aca="false">IF((2070-Inputs!$B$51-Inputs!$B$9)&lt;0,0,IF((2070-Inputs!$B$51-Inputs!$B$9)=0,Inputs!$B$152*Inputs!$B$52,IF((2070-Inputs!$B$51-Inputs!$B$9)=1,Inputs!$B$152,IF((2070-Inputs!$B$51-Inputs!$B$9)=2,Inputs!$C$152,Inputs!$D$152*(1+Inputs!$B$159)^INT(((2070-Inputs!$B$51-Inputs!$B$9)-3)/3)))))*Inputs!$B$148*Inputs!$B$8</f>
        <v>18.0051309697489</v>
      </c>
      <c r="AW27" s="41" t="n">
        <f aca="false">IF((2071-Inputs!$B$51-Inputs!$B$9)&lt;0,0,IF((2071-Inputs!$B$51-Inputs!$B$9)=0,Inputs!$B$152*Inputs!$B$52,IF((2071-Inputs!$B$51-Inputs!$B$9)=1,Inputs!$B$152,IF((2071-Inputs!$B$51-Inputs!$B$9)=2,Inputs!$C$152,Inputs!$D$152*(1+Inputs!$B$159)^INT(((2071-Inputs!$B$51-Inputs!$B$9)-3)/3)))))*Inputs!$B$148*Inputs!$B$8</f>
        <v>18.0051309697489</v>
      </c>
      <c r="AX27" s="41" t="n">
        <f aca="false">IF((2072-Inputs!$B$51-Inputs!$B$9)&lt;0,0,IF((2072-Inputs!$B$51-Inputs!$B$9)=0,Inputs!$B$152*Inputs!$B$52,IF((2072-Inputs!$B$51-Inputs!$B$9)=1,Inputs!$B$152,IF((2072-Inputs!$B$51-Inputs!$B$9)=2,Inputs!$C$152,Inputs!$D$152*(1+Inputs!$B$159)^INT(((2072-Inputs!$B$51-Inputs!$B$9)-3)/3)))))*Inputs!$B$148*Inputs!$B$8</f>
        <v>18.0051309697489</v>
      </c>
      <c r="AY27" s="41" t="n">
        <f aca="false">IF((2073-Inputs!$B$51-Inputs!$B$9)&lt;0,0,IF((2073-Inputs!$B$51-Inputs!$B$9)=0,Inputs!$B$152*Inputs!$B$52,IF((2073-Inputs!$B$51-Inputs!$B$9)=1,Inputs!$B$152,IF((2073-Inputs!$B$51-Inputs!$B$9)=2,Inputs!$C$152,Inputs!$D$152*(1+Inputs!$B$159)^INT(((2073-Inputs!$B$51-Inputs!$B$9)-3)/3)))))*Inputs!$B$148*Inputs!$B$8</f>
        <v>19.8056440667238</v>
      </c>
      <c r="AZ27" s="41" t="n">
        <f aca="false">IF((2074-Inputs!$B$51-Inputs!$B$9)&lt;0,0,IF((2074-Inputs!$B$51-Inputs!$B$9)=0,Inputs!$B$152*Inputs!$B$52,IF((2074-Inputs!$B$51-Inputs!$B$9)=1,Inputs!$B$152,IF((2074-Inputs!$B$51-Inputs!$B$9)=2,Inputs!$C$152,Inputs!$D$152*(1+Inputs!$B$159)^INT(((2074-Inputs!$B$51-Inputs!$B$9)-3)/3)))))*Inputs!$B$148*Inputs!$B$8</f>
        <v>19.8056440667238</v>
      </c>
    </row>
    <row r="28" customFormat="false" ht="15" hidden="false" customHeight="true" outlineLevel="0" collapsed="false">
      <c r="A28" s="13" t="s">
        <v>636</v>
      </c>
      <c r="B28" s="15" t="s">
        <v>633</v>
      </c>
      <c r="C28" s="41" t="n">
        <f aca="false">SUM(D28:AZ28)</f>
        <v>161.896741914403</v>
      </c>
      <c r="D28" s="41" t="n">
        <f aca="false">IF((2026-Inputs!$B$51-Inputs!$B$9)&lt;0,0,IF((2026-Inputs!$B$51-Inputs!$B$9)=0,Inputs!$B$153*Inputs!$B$52,IF((2026-Inputs!$B$51-Inputs!$B$9)=1,Inputs!$B$153,IF((2026-Inputs!$B$51-Inputs!$B$9)=2,Inputs!$C$153,Inputs!$D$153*(1+Inputs!$B$159)^INT(((2026-Inputs!$B$51-Inputs!$B$9)-3)/3)))))*Inputs!$B$148*Inputs!$B$8</f>
        <v>0</v>
      </c>
      <c r="E28" s="41" t="n">
        <f aca="false">IF((2027-Inputs!$B$51-Inputs!$B$9)&lt;0,0,IF((2027-Inputs!$B$51-Inputs!$B$9)=0,Inputs!$B$153*Inputs!$B$52,IF((2027-Inputs!$B$51-Inputs!$B$9)=1,Inputs!$B$153,IF((2027-Inputs!$B$51-Inputs!$B$9)=2,Inputs!$C$153,Inputs!$D$153*(1+Inputs!$B$159)^INT(((2027-Inputs!$B$51-Inputs!$B$9)-3)/3)))))*Inputs!$B$148*Inputs!$B$8</f>
        <v>0</v>
      </c>
      <c r="F28" s="41" t="n">
        <f aca="false">IF((2028-Inputs!$B$51-Inputs!$B$9)&lt;0,0,IF((2028-Inputs!$B$51-Inputs!$B$9)=0,Inputs!$B$153*Inputs!$B$52,IF((2028-Inputs!$B$51-Inputs!$B$9)=1,Inputs!$B$153,IF((2028-Inputs!$B$51-Inputs!$B$9)=2,Inputs!$C$153,Inputs!$D$153*(1+Inputs!$B$159)^INT(((2028-Inputs!$B$51-Inputs!$B$9)-3)/3)))))*Inputs!$B$148*Inputs!$B$8</f>
        <v>0.271959894048567</v>
      </c>
      <c r="G28" s="41" t="n">
        <f aca="false">IF((2029-Inputs!$B$51-Inputs!$B$9)&lt;0,0,IF((2029-Inputs!$B$51-Inputs!$B$9)=0,Inputs!$B$153*Inputs!$B$52,IF((2029-Inputs!$B$51-Inputs!$B$9)=1,Inputs!$B$153,IF((2029-Inputs!$B$51-Inputs!$B$9)=2,Inputs!$C$153,Inputs!$D$153*(1+Inputs!$B$159)^INT(((2029-Inputs!$B$51-Inputs!$B$9)-3)/3)))))*Inputs!$B$148*Inputs!$B$8</f>
        <v>1.08783957619427</v>
      </c>
      <c r="H28" s="41" t="n">
        <f aca="false">IF((2030-Inputs!$B$51-Inputs!$B$9)&lt;0,0,IF((2030-Inputs!$B$51-Inputs!$B$9)=0,Inputs!$B$153*Inputs!$B$52,IF((2030-Inputs!$B$51-Inputs!$B$9)=1,Inputs!$B$153,IF((2030-Inputs!$B$51-Inputs!$B$9)=2,Inputs!$C$153,Inputs!$D$153*(1+Inputs!$B$159)^INT(((2030-Inputs!$B$51-Inputs!$B$9)-3)/3)))))*Inputs!$B$148*Inputs!$B$8</f>
        <v>1.4312118202345</v>
      </c>
      <c r="I28" s="41" t="n">
        <f aca="false">IF((2031-Inputs!$B$51-Inputs!$B$9)&lt;0,0,IF((2031-Inputs!$B$51-Inputs!$B$9)=0,Inputs!$B$153*Inputs!$B$52,IF((2031-Inputs!$B$51-Inputs!$B$9)=1,Inputs!$B$153,IF((2031-Inputs!$B$51-Inputs!$B$9)=2,Inputs!$C$153,Inputs!$D$153*(1+Inputs!$B$159)^INT(((2031-Inputs!$B$51-Inputs!$B$9)-3)/3)))))*Inputs!$B$148*Inputs!$B$8</f>
        <v>1.73848145983292</v>
      </c>
      <c r="J28" s="41" t="n">
        <f aca="false">IF((2032-Inputs!$B$51-Inputs!$B$9)&lt;0,0,IF((2032-Inputs!$B$51-Inputs!$B$9)=0,Inputs!$B$153*Inputs!$B$52,IF((2032-Inputs!$B$51-Inputs!$B$9)=1,Inputs!$B$153,IF((2032-Inputs!$B$51-Inputs!$B$9)=2,Inputs!$C$153,Inputs!$D$153*(1+Inputs!$B$159)^INT(((2032-Inputs!$B$51-Inputs!$B$9)-3)/3)))))*Inputs!$B$148*Inputs!$B$8</f>
        <v>1.73848145983292</v>
      </c>
      <c r="K28" s="41" t="n">
        <f aca="false">IF((2033-Inputs!$B$51-Inputs!$B$9)&lt;0,0,IF((2033-Inputs!$B$51-Inputs!$B$9)=0,Inputs!$B$153*Inputs!$B$52,IF((2033-Inputs!$B$51-Inputs!$B$9)=1,Inputs!$B$153,IF((2033-Inputs!$B$51-Inputs!$B$9)=2,Inputs!$C$153,Inputs!$D$153*(1+Inputs!$B$159)^INT(((2033-Inputs!$B$51-Inputs!$B$9)-3)/3)))))*Inputs!$B$148*Inputs!$B$8</f>
        <v>1.73848145983292</v>
      </c>
      <c r="L28" s="41" t="n">
        <f aca="false">IF((2034-Inputs!$B$51-Inputs!$B$9)&lt;0,0,IF((2034-Inputs!$B$51-Inputs!$B$9)=0,Inputs!$B$153*Inputs!$B$52,IF((2034-Inputs!$B$51-Inputs!$B$9)=1,Inputs!$B$153,IF((2034-Inputs!$B$51-Inputs!$B$9)=2,Inputs!$C$153,Inputs!$D$153*(1+Inputs!$B$159)^INT(((2034-Inputs!$B$51-Inputs!$B$9)-3)/3)))))*Inputs!$B$148*Inputs!$B$8</f>
        <v>1.91232960581622</v>
      </c>
      <c r="M28" s="41" t="n">
        <f aca="false">IF((2035-Inputs!$B$51-Inputs!$B$9)&lt;0,0,IF((2035-Inputs!$B$51-Inputs!$B$9)=0,Inputs!$B$153*Inputs!$B$52,IF((2035-Inputs!$B$51-Inputs!$B$9)=1,Inputs!$B$153,IF((2035-Inputs!$B$51-Inputs!$B$9)=2,Inputs!$C$153,Inputs!$D$153*(1+Inputs!$B$159)^INT(((2035-Inputs!$B$51-Inputs!$B$9)-3)/3)))))*Inputs!$B$148*Inputs!$B$8</f>
        <v>1.91232960581622</v>
      </c>
      <c r="N28" s="41" t="n">
        <f aca="false">IF((2036-Inputs!$B$51-Inputs!$B$9)&lt;0,0,IF((2036-Inputs!$B$51-Inputs!$B$9)=0,Inputs!$B$153*Inputs!$B$52,IF((2036-Inputs!$B$51-Inputs!$B$9)=1,Inputs!$B$153,IF((2036-Inputs!$B$51-Inputs!$B$9)=2,Inputs!$C$153,Inputs!$D$153*(1+Inputs!$B$159)^INT(((2036-Inputs!$B$51-Inputs!$B$9)-3)/3)))))*Inputs!$B$148*Inputs!$B$8</f>
        <v>1.91232960581622</v>
      </c>
      <c r="O28" s="41" t="n">
        <f aca="false">IF((2037-Inputs!$B$51-Inputs!$B$9)&lt;0,0,IF((2037-Inputs!$B$51-Inputs!$B$9)=0,Inputs!$B$153*Inputs!$B$52,IF((2037-Inputs!$B$51-Inputs!$B$9)=1,Inputs!$B$153,IF((2037-Inputs!$B$51-Inputs!$B$9)=2,Inputs!$C$153,Inputs!$D$153*(1+Inputs!$B$159)^INT(((2037-Inputs!$B$51-Inputs!$B$9)-3)/3)))))*Inputs!$B$148*Inputs!$B$8</f>
        <v>2.10356256639784</v>
      </c>
      <c r="P28" s="41" t="n">
        <f aca="false">IF((2038-Inputs!$B$51-Inputs!$B$9)&lt;0,0,IF((2038-Inputs!$B$51-Inputs!$B$9)=0,Inputs!$B$153*Inputs!$B$52,IF((2038-Inputs!$B$51-Inputs!$B$9)=1,Inputs!$B$153,IF((2038-Inputs!$B$51-Inputs!$B$9)=2,Inputs!$C$153,Inputs!$D$153*(1+Inputs!$B$159)^INT(((2038-Inputs!$B$51-Inputs!$B$9)-3)/3)))))*Inputs!$B$148*Inputs!$B$8</f>
        <v>2.10356256639784</v>
      </c>
      <c r="Q28" s="41" t="n">
        <f aca="false">IF((2039-Inputs!$B$51-Inputs!$B$9)&lt;0,0,IF((2039-Inputs!$B$51-Inputs!$B$9)=0,Inputs!$B$153*Inputs!$B$52,IF((2039-Inputs!$B$51-Inputs!$B$9)=1,Inputs!$B$153,IF((2039-Inputs!$B$51-Inputs!$B$9)=2,Inputs!$C$153,Inputs!$D$153*(1+Inputs!$B$159)^INT(((2039-Inputs!$B$51-Inputs!$B$9)-3)/3)))))*Inputs!$B$148*Inputs!$B$8</f>
        <v>2.10356256639784</v>
      </c>
      <c r="R28" s="41" t="n">
        <f aca="false">IF((2040-Inputs!$B$51-Inputs!$B$9)&lt;0,0,IF((2040-Inputs!$B$51-Inputs!$B$9)=0,Inputs!$B$153*Inputs!$B$52,IF((2040-Inputs!$B$51-Inputs!$B$9)=1,Inputs!$B$153,IF((2040-Inputs!$B$51-Inputs!$B$9)=2,Inputs!$C$153,Inputs!$D$153*(1+Inputs!$B$159)^INT(((2040-Inputs!$B$51-Inputs!$B$9)-3)/3)))))*Inputs!$B$148*Inputs!$B$8</f>
        <v>2.31391882303762</v>
      </c>
      <c r="S28" s="41" t="n">
        <f aca="false">IF((2041-Inputs!$B$51-Inputs!$B$9)&lt;0,0,IF((2041-Inputs!$B$51-Inputs!$B$9)=0,Inputs!$B$153*Inputs!$B$52,IF((2041-Inputs!$B$51-Inputs!$B$9)=1,Inputs!$B$153,IF((2041-Inputs!$B$51-Inputs!$B$9)=2,Inputs!$C$153,Inputs!$D$153*(1+Inputs!$B$159)^INT(((2041-Inputs!$B$51-Inputs!$B$9)-3)/3)))))*Inputs!$B$148*Inputs!$B$8</f>
        <v>2.31391882303762</v>
      </c>
      <c r="T28" s="41" t="n">
        <f aca="false">IF((2042-Inputs!$B$51-Inputs!$B$9)&lt;0,0,IF((2042-Inputs!$B$51-Inputs!$B$9)=0,Inputs!$B$153*Inputs!$B$52,IF((2042-Inputs!$B$51-Inputs!$B$9)=1,Inputs!$B$153,IF((2042-Inputs!$B$51-Inputs!$B$9)=2,Inputs!$C$153,Inputs!$D$153*(1+Inputs!$B$159)^INT(((2042-Inputs!$B$51-Inputs!$B$9)-3)/3)))))*Inputs!$B$148*Inputs!$B$8</f>
        <v>2.31391882303762</v>
      </c>
      <c r="U28" s="41" t="n">
        <f aca="false">IF((2043-Inputs!$B$51-Inputs!$B$9)&lt;0,0,IF((2043-Inputs!$B$51-Inputs!$B$9)=0,Inputs!$B$153*Inputs!$B$52,IF((2043-Inputs!$B$51-Inputs!$B$9)=1,Inputs!$B$153,IF((2043-Inputs!$B$51-Inputs!$B$9)=2,Inputs!$C$153,Inputs!$D$153*(1+Inputs!$B$159)^INT(((2043-Inputs!$B$51-Inputs!$B$9)-3)/3)))))*Inputs!$B$148*Inputs!$B$8</f>
        <v>2.54531070534138</v>
      </c>
      <c r="V28" s="41" t="n">
        <f aca="false">IF((2044-Inputs!$B$51-Inputs!$B$9)&lt;0,0,IF((2044-Inputs!$B$51-Inputs!$B$9)=0,Inputs!$B$153*Inputs!$B$52,IF((2044-Inputs!$B$51-Inputs!$B$9)=1,Inputs!$B$153,IF((2044-Inputs!$B$51-Inputs!$B$9)=2,Inputs!$C$153,Inputs!$D$153*(1+Inputs!$B$159)^INT(((2044-Inputs!$B$51-Inputs!$B$9)-3)/3)))))*Inputs!$B$148*Inputs!$B$8</f>
        <v>2.54531070534138</v>
      </c>
      <c r="W28" s="41" t="n">
        <f aca="false">IF((2045-Inputs!$B$51-Inputs!$B$9)&lt;0,0,IF((2045-Inputs!$B$51-Inputs!$B$9)=0,Inputs!$B$153*Inputs!$B$52,IF((2045-Inputs!$B$51-Inputs!$B$9)=1,Inputs!$B$153,IF((2045-Inputs!$B$51-Inputs!$B$9)=2,Inputs!$C$153,Inputs!$D$153*(1+Inputs!$B$159)^INT(((2045-Inputs!$B$51-Inputs!$B$9)-3)/3)))))*Inputs!$B$148*Inputs!$B$8</f>
        <v>2.54531070534138</v>
      </c>
      <c r="X28" s="41" t="n">
        <f aca="false">IF((2046-Inputs!$B$51-Inputs!$B$9)&lt;0,0,IF((2046-Inputs!$B$51-Inputs!$B$9)=0,Inputs!$B$153*Inputs!$B$52,IF((2046-Inputs!$B$51-Inputs!$B$9)=1,Inputs!$B$153,IF((2046-Inputs!$B$51-Inputs!$B$9)=2,Inputs!$C$153,Inputs!$D$153*(1+Inputs!$B$159)^INT(((2046-Inputs!$B$51-Inputs!$B$9)-3)/3)))))*Inputs!$B$148*Inputs!$B$8</f>
        <v>2.79984177587552</v>
      </c>
      <c r="Y28" s="41" t="n">
        <f aca="false">IF((2047-Inputs!$B$51-Inputs!$B$9)&lt;0,0,IF((2047-Inputs!$B$51-Inputs!$B$9)=0,Inputs!$B$153*Inputs!$B$52,IF((2047-Inputs!$B$51-Inputs!$B$9)=1,Inputs!$B$153,IF((2047-Inputs!$B$51-Inputs!$B$9)=2,Inputs!$C$153,Inputs!$D$153*(1+Inputs!$B$159)^INT(((2047-Inputs!$B$51-Inputs!$B$9)-3)/3)))))*Inputs!$B$148*Inputs!$B$8</f>
        <v>2.79984177587552</v>
      </c>
      <c r="Z28" s="41" t="n">
        <f aca="false">IF((2048-Inputs!$B$51-Inputs!$B$9)&lt;0,0,IF((2048-Inputs!$B$51-Inputs!$B$9)=0,Inputs!$B$153*Inputs!$B$52,IF((2048-Inputs!$B$51-Inputs!$B$9)=1,Inputs!$B$153,IF((2048-Inputs!$B$51-Inputs!$B$9)=2,Inputs!$C$153,Inputs!$D$153*(1+Inputs!$B$159)^INT(((2048-Inputs!$B$51-Inputs!$B$9)-3)/3)))))*Inputs!$B$148*Inputs!$B$8</f>
        <v>2.79984177587552</v>
      </c>
      <c r="AA28" s="41" t="n">
        <f aca="false">IF((2049-Inputs!$B$51-Inputs!$B$9)&lt;0,0,IF((2049-Inputs!$B$51-Inputs!$B$9)=0,Inputs!$B$153*Inputs!$B$52,IF((2049-Inputs!$B$51-Inputs!$B$9)=1,Inputs!$B$153,IF((2049-Inputs!$B$51-Inputs!$B$9)=2,Inputs!$C$153,Inputs!$D$153*(1+Inputs!$B$159)^INT(((2049-Inputs!$B$51-Inputs!$B$9)-3)/3)))))*Inputs!$B$148*Inputs!$B$8</f>
        <v>3.07982595346307</v>
      </c>
      <c r="AB28" s="41" t="n">
        <f aca="false">IF((2050-Inputs!$B$51-Inputs!$B$9)&lt;0,0,IF((2050-Inputs!$B$51-Inputs!$B$9)=0,Inputs!$B$153*Inputs!$B$52,IF((2050-Inputs!$B$51-Inputs!$B$9)=1,Inputs!$B$153,IF((2050-Inputs!$B$51-Inputs!$B$9)=2,Inputs!$C$153,Inputs!$D$153*(1+Inputs!$B$159)^INT(((2050-Inputs!$B$51-Inputs!$B$9)-3)/3)))))*Inputs!$B$148*Inputs!$B$8</f>
        <v>3.07982595346307</v>
      </c>
      <c r="AC28" s="41" t="n">
        <f aca="false">IF((2051-Inputs!$B$51-Inputs!$B$9)&lt;0,0,IF((2051-Inputs!$B$51-Inputs!$B$9)=0,Inputs!$B$153*Inputs!$B$52,IF((2051-Inputs!$B$51-Inputs!$B$9)=1,Inputs!$B$153,IF((2051-Inputs!$B$51-Inputs!$B$9)=2,Inputs!$C$153,Inputs!$D$153*(1+Inputs!$B$159)^INT(((2051-Inputs!$B$51-Inputs!$B$9)-3)/3)))))*Inputs!$B$148*Inputs!$B$8</f>
        <v>3.07982595346307</v>
      </c>
      <c r="AD28" s="41" t="n">
        <f aca="false">IF((2052-Inputs!$B$51-Inputs!$B$9)&lt;0,0,IF((2052-Inputs!$B$51-Inputs!$B$9)=0,Inputs!$B$153*Inputs!$B$52,IF((2052-Inputs!$B$51-Inputs!$B$9)=1,Inputs!$B$153,IF((2052-Inputs!$B$51-Inputs!$B$9)=2,Inputs!$C$153,Inputs!$D$153*(1+Inputs!$B$159)^INT(((2052-Inputs!$B$51-Inputs!$B$9)-3)/3)))))*Inputs!$B$148*Inputs!$B$8</f>
        <v>3.38780854880938</v>
      </c>
      <c r="AE28" s="41" t="n">
        <f aca="false">IF((2053-Inputs!$B$51-Inputs!$B$9)&lt;0,0,IF((2053-Inputs!$B$51-Inputs!$B$9)=0,Inputs!$B$153*Inputs!$B$52,IF((2053-Inputs!$B$51-Inputs!$B$9)=1,Inputs!$B$153,IF((2053-Inputs!$B$51-Inputs!$B$9)=2,Inputs!$C$153,Inputs!$D$153*(1+Inputs!$B$159)^INT(((2053-Inputs!$B$51-Inputs!$B$9)-3)/3)))))*Inputs!$B$148*Inputs!$B$8</f>
        <v>3.38780854880938</v>
      </c>
      <c r="AF28" s="41" t="n">
        <f aca="false">IF((2054-Inputs!$B$51-Inputs!$B$9)&lt;0,0,IF((2054-Inputs!$B$51-Inputs!$B$9)=0,Inputs!$B$153*Inputs!$B$52,IF((2054-Inputs!$B$51-Inputs!$B$9)=1,Inputs!$B$153,IF((2054-Inputs!$B$51-Inputs!$B$9)=2,Inputs!$C$153,Inputs!$D$153*(1+Inputs!$B$159)^INT(((2054-Inputs!$B$51-Inputs!$B$9)-3)/3)))))*Inputs!$B$148*Inputs!$B$8</f>
        <v>3.38780854880938</v>
      </c>
      <c r="AG28" s="41" t="n">
        <f aca="false">IF((2055-Inputs!$B$51-Inputs!$B$9)&lt;0,0,IF((2055-Inputs!$B$51-Inputs!$B$9)=0,Inputs!$B$153*Inputs!$B$52,IF((2055-Inputs!$B$51-Inputs!$B$9)=1,Inputs!$B$153,IF((2055-Inputs!$B$51-Inputs!$B$9)=2,Inputs!$C$153,Inputs!$D$153*(1+Inputs!$B$159)^INT(((2055-Inputs!$B$51-Inputs!$B$9)-3)/3)))))*Inputs!$B$148*Inputs!$B$8</f>
        <v>3.72658940369032</v>
      </c>
      <c r="AH28" s="41" t="n">
        <f aca="false">IF((2056-Inputs!$B$51-Inputs!$B$9)&lt;0,0,IF((2056-Inputs!$B$51-Inputs!$B$9)=0,Inputs!$B$153*Inputs!$B$52,IF((2056-Inputs!$B$51-Inputs!$B$9)=1,Inputs!$B$153,IF((2056-Inputs!$B$51-Inputs!$B$9)=2,Inputs!$C$153,Inputs!$D$153*(1+Inputs!$B$159)^INT(((2056-Inputs!$B$51-Inputs!$B$9)-3)/3)))))*Inputs!$B$148*Inputs!$B$8</f>
        <v>3.72658940369032</v>
      </c>
      <c r="AI28" s="41" t="n">
        <f aca="false">IF((2057-Inputs!$B$51-Inputs!$B$9)&lt;0,0,IF((2057-Inputs!$B$51-Inputs!$B$9)=0,Inputs!$B$153*Inputs!$B$52,IF((2057-Inputs!$B$51-Inputs!$B$9)=1,Inputs!$B$153,IF((2057-Inputs!$B$51-Inputs!$B$9)=2,Inputs!$C$153,Inputs!$D$153*(1+Inputs!$B$159)^INT(((2057-Inputs!$B$51-Inputs!$B$9)-3)/3)))))*Inputs!$B$148*Inputs!$B$8</f>
        <v>3.72658940369032</v>
      </c>
      <c r="AJ28" s="41" t="n">
        <f aca="false">IF((2058-Inputs!$B$51-Inputs!$B$9)&lt;0,0,IF((2058-Inputs!$B$51-Inputs!$B$9)=0,Inputs!$B$153*Inputs!$B$52,IF((2058-Inputs!$B$51-Inputs!$B$9)=1,Inputs!$B$153,IF((2058-Inputs!$B$51-Inputs!$B$9)=2,Inputs!$C$153,Inputs!$D$153*(1+Inputs!$B$159)^INT(((2058-Inputs!$B$51-Inputs!$B$9)-3)/3)))))*Inputs!$B$148*Inputs!$B$8</f>
        <v>4.09924834405935</v>
      </c>
      <c r="AK28" s="41" t="n">
        <f aca="false">IF((2059-Inputs!$B$51-Inputs!$B$9)&lt;0,0,IF((2059-Inputs!$B$51-Inputs!$B$9)=0,Inputs!$B$153*Inputs!$B$52,IF((2059-Inputs!$B$51-Inputs!$B$9)=1,Inputs!$B$153,IF((2059-Inputs!$B$51-Inputs!$B$9)=2,Inputs!$C$153,Inputs!$D$153*(1+Inputs!$B$159)^INT(((2059-Inputs!$B$51-Inputs!$B$9)-3)/3)))))*Inputs!$B$148*Inputs!$B$8</f>
        <v>4.09924834405935</v>
      </c>
      <c r="AL28" s="41" t="n">
        <f aca="false">IF((2060-Inputs!$B$51-Inputs!$B$9)&lt;0,0,IF((2060-Inputs!$B$51-Inputs!$B$9)=0,Inputs!$B$153*Inputs!$B$52,IF((2060-Inputs!$B$51-Inputs!$B$9)=1,Inputs!$B$153,IF((2060-Inputs!$B$51-Inputs!$B$9)=2,Inputs!$C$153,Inputs!$D$153*(1+Inputs!$B$159)^INT(((2060-Inputs!$B$51-Inputs!$B$9)-3)/3)))))*Inputs!$B$148*Inputs!$B$8</f>
        <v>4.09924834405935</v>
      </c>
      <c r="AM28" s="41" t="n">
        <f aca="false">IF((2061-Inputs!$B$51-Inputs!$B$9)&lt;0,0,IF((2061-Inputs!$B$51-Inputs!$B$9)=0,Inputs!$B$153*Inputs!$B$52,IF((2061-Inputs!$B$51-Inputs!$B$9)=1,Inputs!$B$153,IF((2061-Inputs!$B$51-Inputs!$B$9)=2,Inputs!$C$153,Inputs!$D$153*(1+Inputs!$B$159)^INT(((2061-Inputs!$B$51-Inputs!$B$9)-3)/3)))))*Inputs!$B$148*Inputs!$B$8</f>
        <v>4.50917317846529</v>
      </c>
      <c r="AN28" s="41" t="n">
        <f aca="false">IF((2062-Inputs!$B$51-Inputs!$B$9)&lt;0,0,IF((2062-Inputs!$B$51-Inputs!$B$9)=0,Inputs!$B$153*Inputs!$B$52,IF((2062-Inputs!$B$51-Inputs!$B$9)=1,Inputs!$B$153,IF((2062-Inputs!$B$51-Inputs!$B$9)=2,Inputs!$C$153,Inputs!$D$153*(1+Inputs!$B$159)^INT(((2062-Inputs!$B$51-Inputs!$B$9)-3)/3)))))*Inputs!$B$148*Inputs!$B$8</f>
        <v>4.50917317846529</v>
      </c>
      <c r="AO28" s="41" t="n">
        <f aca="false">IF((2063-Inputs!$B$51-Inputs!$B$9)&lt;0,0,IF((2063-Inputs!$B$51-Inputs!$B$9)=0,Inputs!$B$153*Inputs!$B$52,IF((2063-Inputs!$B$51-Inputs!$B$9)=1,Inputs!$B$153,IF((2063-Inputs!$B$51-Inputs!$B$9)=2,Inputs!$C$153,Inputs!$D$153*(1+Inputs!$B$159)^INT(((2063-Inputs!$B$51-Inputs!$B$9)-3)/3)))))*Inputs!$B$148*Inputs!$B$8</f>
        <v>4.50917317846529</v>
      </c>
      <c r="AP28" s="41" t="n">
        <f aca="false">IF((2064-Inputs!$B$51-Inputs!$B$9)&lt;0,0,IF((2064-Inputs!$B$51-Inputs!$B$9)=0,Inputs!$B$153*Inputs!$B$52,IF((2064-Inputs!$B$51-Inputs!$B$9)=1,Inputs!$B$153,IF((2064-Inputs!$B$51-Inputs!$B$9)=2,Inputs!$C$153,Inputs!$D$153*(1+Inputs!$B$159)^INT(((2064-Inputs!$B$51-Inputs!$B$9)-3)/3)))))*Inputs!$B$148*Inputs!$B$8</f>
        <v>4.96009049631182</v>
      </c>
      <c r="AQ28" s="41" t="n">
        <f aca="false">IF((2065-Inputs!$B$51-Inputs!$B$9)&lt;0,0,IF((2065-Inputs!$B$51-Inputs!$B$9)=0,Inputs!$B$153*Inputs!$B$52,IF((2065-Inputs!$B$51-Inputs!$B$9)=1,Inputs!$B$153,IF((2065-Inputs!$B$51-Inputs!$B$9)=2,Inputs!$C$153,Inputs!$D$153*(1+Inputs!$B$159)^INT(((2065-Inputs!$B$51-Inputs!$B$9)-3)/3)))))*Inputs!$B$148*Inputs!$B$8</f>
        <v>4.96009049631182</v>
      </c>
      <c r="AR28" s="41" t="n">
        <f aca="false">IF((2066-Inputs!$B$51-Inputs!$B$9)&lt;0,0,IF((2066-Inputs!$B$51-Inputs!$B$9)=0,Inputs!$B$153*Inputs!$B$52,IF((2066-Inputs!$B$51-Inputs!$B$9)=1,Inputs!$B$153,IF((2066-Inputs!$B$51-Inputs!$B$9)=2,Inputs!$C$153,Inputs!$D$153*(1+Inputs!$B$159)^INT(((2066-Inputs!$B$51-Inputs!$B$9)-3)/3)))))*Inputs!$B$148*Inputs!$B$8</f>
        <v>4.96009049631182</v>
      </c>
      <c r="AS28" s="41" t="n">
        <f aca="false">IF((2067-Inputs!$B$51-Inputs!$B$9)&lt;0,0,IF((2067-Inputs!$B$51-Inputs!$B$9)=0,Inputs!$B$153*Inputs!$B$52,IF((2067-Inputs!$B$51-Inputs!$B$9)=1,Inputs!$B$153,IF((2067-Inputs!$B$51-Inputs!$B$9)=2,Inputs!$C$153,Inputs!$D$153*(1+Inputs!$B$159)^INT(((2067-Inputs!$B$51-Inputs!$B$9)-3)/3)))))*Inputs!$B$148*Inputs!$B$8</f>
        <v>5.456099545943</v>
      </c>
      <c r="AT28" s="41" t="n">
        <f aca="false">IF((2068-Inputs!$B$51-Inputs!$B$9)&lt;0,0,IF((2068-Inputs!$B$51-Inputs!$B$9)=0,Inputs!$B$153*Inputs!$B$52,IF((2068-Inputs!$B$51-Inputs!$B$9)=1,Inputs!$B$153,IF((2068-Inputs!$B$51-Inputs!$B$9)=2,Inputs!$C$153,Inputs!$D$153*(1+Inputs!$B$159)^INT(((2068-Inputs!$B$51-Inputs!$B$9)-3)/3)))))*Inputs!$B$148*Inputs!$B$8</f>
        <v>5.456099545943</v>
      </c>
      <c r="AU28" s="41" t="n">
        <f aca="false">IF((2069-Inputs!$B$51-Inputs!$B$9)&lt;0,0,IF((2069-Inputs!$B$51-Inputs!$B$9)=0,Inputs!$B$153*Inputs!$B$52,IF((2069-Inputs!$B$51-Inputs!$B$9)=1,Inputs!$B$153,IF((2069-Inputs!$B$51-Inputs!$B$9)=2,Inputs!$C$153,Inputs!$D$153*(1+Inputs!$B$159)^INT(((2069-Inputs!$B$51-Inputs!$B$9)-3)/3)))))*Inputs!$B$148*Inputs!$B$8</f>
        <v>5.456099545943</v>
      </c>
      <c r="AV28" s="41" t="n">
        <f aca="false">IF((2070-Inputs!$B$51-Inputs!$B$9)&lt;0,0,IF((2070-Inputs!$B$51-Inputs!$B$9)=0,Inputs!$B$153*Inputs!$B$52,IF((2070-Inputs!$B$51-Inputs!$B$9)=1,Inputs!$B$153,IF((2070-Inputs!$B$51-Inputs!$B$9)=2,Inputs!$C$153,Inputs!$D$153*(1+Inputs!$B$159)^INT(((2070-Inputs!$B$51-Inputs!$B$9)-3)/3)))))*Inputs!$B$148*Inputs!$B$8</f>
        <v>6.0017095005373</v>
      </c>
      <c r="AW28" s="41" t="n">
        <f aca="false">IF((2071-Inputs!$B$51-Inputs!$B$9)&lt;0,0,IF((2071-Inputs!$B$51-Inputs!$B$9)=0,Inputs!$B$153*Inputs!$B$52,IF((2071-Inputs!$B$51-Inputs!$B$9)=1,Inputs!$B$153,IF((2071-Inputs!$B$51-Inputs!$B$9)=2,Inputs!$C$153,Inputs!$D$153*(1+Inputs!$B$159)^INT(((2071-Inputs!$B$51-Inputs!$B$9)-3)/3)))))*Inputs!$B$148*Inputs!$B$8</f>
        <v>6.0017095005373</v>
      </c>
      <c r="AX28" s="41" t="n">
        <f aca="false">IF((2072-Inputs!$B$51-Inputs!$B$9)&lt;0,0,IF((2072-Inputs!$B$51-Inputs!$B$9)=0,Inputs!$B$153*Inputs!$B$52,IF((2072-Inputs!$B$51-Inputs!$B$9)=1,Inputs!$B$153,IF((2072-Inputs!$B$51-Inputs!$B$9)=2,Inputs!$C$153,Inputs!$D$153*(1+Inputs!$B$159)^INT(((2072-Inputs!$B$51-Inputs!$B$9)-3)/3)))))*Inputs!$B$148*Inputs!$B$8</f>
        <v>6.0017095005373</v>
      </c>
      <c r="AY28" s="41" t="n">
        <f aca="false">IF((2073-Inputs!$B$51-Inputs!$B$9)&lt;0,0,IF((2073-Inputs!$B$51-Inputs!$B$9)=0,Inputs!$B$153*Inputs!$B$52,IF((2073-Inputs!$B$51-Inputs!$B$9)=1,Inputs!$B$153,IF((2073-Inputs!$B$51-Inputs!$B$9)=2,Inputs!$C$153,Inputs!$D$153*(1+Inputs!$B$159)^INT(((2073-Inputs!$B$51-Inputs!$B$9)-3)/3)))))*Inputs!$B$148*Inputs!$B$8</f>
        <v>6.60188045059103</v>
      </c>
      <c r="AZ28" s="41" t="n">
        <f aca="false">IF((2074-Inputs!$B$51-Inputs!$B$9)&lt;0,0,IF((2074-Inputs!$B$51-Inputs!$B$9)=0,Inputs!$B$153*Inputs!$B$52,IF((2074-Inputs!$B$51-Inputs!$B$9)=1,Inputs!$B$153,IF((2074-Inputs!$B$51-Inputs!$B$9)=2,Inputs!$C$153,Inputs!$D$153*(1+Inputs!$B$159)^INT(((2074-Inputs!$B$51-Inputs!$B$9)-3)/3)))))*Inputs!$B$148*Inputs!$B$8</f>
        <v>6.60188045059103</v>
      </c>
    </row>
    <row r="29" customFormat="false" ht="15" hidden="false" customHeight="true" outlineLevel="0" collapsed="false">
      <c r="A29" s="13" t="s">
        <v>238</v>
      </c>
      <c r="B29" s="15" t="s">
        <v>633</v>
      </c>
      <c r="C29" s="41" t="n">
        <f aca="false">SUM(D29:AZ29)</f>
        <v>595.844911019683</v>
      </c>
      <c r="D29" s="41" t="n">
        <f aca="false">IF((2026-Inputs!$B$51-Inputs!$B$9)&lt;0,0,IF((2026-Inputs!$B$51-Inputs!$B$9)=0,Inputs!$B$154*Inputs!$B$52,IF((2026-Inputs!$B$51-Inputs!$B$9)=1,Inputs!$B$154,IF((2026-Inputs!$B$51-Inputs!$B$9)=2,Inputs!$C$154,Inputs!$D$154*(1+Inputs!$B$159)^INT(((2026-Inputs!$B$51-Inputs!$B$9)-3)/3)))))*Inputs!$B$148*Inputs!$B$8</f>
        <v>0</v>
      </c>
      <c r="E29" s="41" t="n">
        <f aca="false">IF((2027-Inputs!$B$51-Inputs!$B$9)&lt;0,0,IF((2027-Inputs!$B$51-Inputs!$B$9)=0,Inputs!$B$154*Inputs!$B$52,IF((2027-Inputs!$B$51-Inputs!$B$9)=1,Inputs!$B$154,IF((2027-Inputs!$B$51-Inputs!$B$9)=2,Inputs!$C$154,Inputs!$D$154*(1+Inputs!$B$159)^INT(((2027-Inputs!$B$51-Inputs!$B$9)-3)/3)))))*Inputs!$B$148*Inputs!$B$8</f>
        <v>0</v>
      </c>
      <c r="F29" s="41" t="n">
        <f aca="false">IF((2028-Inputs!$B$51-Inputs!$B$9)&lt;0,0,IF((2028-Inputs!$B$51-Inputs!$B$9)=0,Inputs!$B$154*Inputs!$B$52,IF((2028-Inputs!$B$51-Inputs!$B$9)=1,Inputs!$B$154,IF((2028-Inputs!$B$51-Inputs!$B$9)=2,Inputs!$C$154,Inputs!$D$154*(1+Inputs!$B$159)^INT(((2028-Inputs!$B$51-Inputs!$B$9)-3)/3)))))*Inputs!$B$148*Inputs!$B$8</f>
        <v>0.536198529275566</v>
      </c>
      <c r="G29" s="41" t="n">
        <f aca="false">IF((2029-Inputs!$B$51-Inputs!$B$9)&lt;0,0,IF((2029-Inputs!$B$51-Inputs!$B$9)=0,Inputs!$B$154*Inputs!$B$52,IF((2029-Inputs!$B$51-Inputs!$B$9)=1,Inputs!$B$154,IF((2029-Inputs!$B$51-Inputs!$B$9)=2,Inputs!$C$154,Inputs!$D$154*(1+Inputs!$B$159)^INT(((2029-Inputs!$B$51-Inputs!$B$9)-3)/3)))))*Inputs!$B$148*Inputs!$B$8</f>
        <v>2.14479411710227</v>
      </c>
      <c r="H29" s="41" t="n">
        <f aca="false">IF((2030-Inputs!$B$51-Inputs!$B$9)&lt;0,0,IF((2030-Inputs!$B$51-Inputs!$B$9)=0,Inputs!$B$154*Inputs!$B$52,IF((2030-Inputs!$B$51-Inputs!$B$9)=1,Inputs!$B$154,IF((2030-Inputs!$B$51-Inputs!$B$9)=2,Inputs!$C$154,Inputs!$D$154*(1+Inputs!$B$159)^INT(((2030-Inputs!$B$51-Inputs!$B$9)-3)/3)))))*Inputs!$B$148*Inputs!$B$8</f>
        <v>4.28958823420453</v>
      </c>
      <c r="I29" s="41" t="n">
        <f aca="false">IF((2031-Inputs!$B$51-Inputs!$B$9)&lt;0,0,IF((2031-Inputs!$B$51-Inputs!$B$9)=0,Inputs!$B$154*Inputs!$B$52,IF((2031-Inputs!$B$51-Inputs!$B$9)=1,Inputs!$B$154,IF((2031-Inputs!$B$51-Inputs!$B$9)=2,Inputs!$C$154,Inputs!$D$154*(1+Inputs!$B$159)^INT(((2031-Inputs!$B$51-Inputs!$B$9)-3)/3)))))*Inputs!$B$148*Inputs!$B$8</f>
        <v>6.4343823513068</v>
      </c>
      <c r="J29" s="41" t="n">
        <f aca="false">IF((2032-Inputs!$B$51-Inputs!$B$9)&lt;0,0,IF((2032-Inputs!$B$51-Inputs!$B$9)=0,Inputs!$B$154*Inputs!$B$52,IF((2032-Inputs!$B$51-Inputs!$B$9)=1,Inputs!$B$154,IF((2032-Inputs!$B$51-Inputs!$B$9)=2,Inputs!$C$154,Inputs!$D$154*(1+Inputs!$B$159)^INT(((2032-Inputs!$B$51-Inputs!$B$9)-3)/3)))))*Inputs!$B$148*Inputs!$B$8</f>
        <v>6.4343823513068</v>
      </c>
      <c r="K29" s="41" t="n">
        <f aca="false">IF((2033-Inputs!$B$51-Inputs!$B$9)&lt;0,0,IF((2033-Inputs!$B$51-Inputs!$B$9)=0,Inputs!$B$154*Inputs!$B$52,IF((2033-Inputs!$B$51-Inputs!$B$9)=1,Inputs!$B$154,IF((2033-Inputs!$B$51-Inputs!$B$9)=2,Inputs!$C$154,Inputs!$D$154*(1+Inputs!$B$159)^INT(((2033-Inputs!$B$51-Inputs!$B$9)-3)/3)))))*Inputs!$B$148*Inputs!$B$8</f>
        <v>6.4343823513068</v>
      </c>
      <c r="L29" s="41" t="n">
        <f aca="false">IF((2034-Inputs!$B$51-Inputs!$B$9)&lt;0,0,IF((2034-Inputs!$B$51-Inputs!$B$9)=0,Inputs!$B$154*Inputs!$B$52,IF((2034-Inputs!$B$51-Inputs!$B$9)=1,Inputs!$B$154,IF((2034-Inputs!$B$51-Inputs!$B$9)=2,Inputs!$C$154,Inputs!$D$154*(1+Inputs!$B$159)^INT(((2034-Inputs!$B$51-Inputs!$B$9)-3)/3)))))*Inputs!$B$148*Inputs!$B$8</f>
        <v>7.07782058643748</v>
      </c>
      <c r="M29" s="41" t="n">
        <f aca="false">IF((2035-Inputs!$B$51-Inputs!$B$9)&lt;0,0,IF((2035-Inputs!$B$51-Inputs!$B$9)=0,Inputs!$B$154*Inputs!$B$52,IF((2035-Inputs!$B$51-Inputs!$B$9)=1,Inputs!$B$154,IF((2035-Inputs!$B$51-Inputs!$B$9)=2,Inputs!$C$154,Inputs!$D$154*(1+Inputs!$B$159)^INT(((2035-Inputs!$B$51-Inputs!$B$9)-3)/3)))))*Inputs!$B$148*Inputs!$B$8</f>
        <v>7.07782058643748</v>
      </c>
      <c r="N29" s="41" t="n">
        <f aca="false">IF((2036-Inputs!$B$51-Inputs!$B$9)&lt;0,0,IF((2036-Inputs!$B$51-Inputs!$B$9)=0,Inputs!$B$154*Inputs!$B$52,IF((2036-Inputs!$B$51-Inputs!$B$9)=1,Inputs!$B$154,IF((2036-Inputs!$B$51-Inputs!$B$9)=2,Inputs!$C$154,Inputs!$D$154*(1+Inputs!$B$159)^INT(((2036-Inputs!$B$51-Inputs!$B$9)-3)/3)))))*Inputs!$B$148*Inputs!$B$8</f>
        <v>7.07782058643748</v>
      </c>
      <c r="O29" s="41" t="n">
        <f aca="false">IF((2037-Inputs!$B$51-Inputs!$B$9)&lt;0,0,IF((2037-Inputs!$B$51-Inputs!$B$9)=0,Inputs!$B$154*Inputs!$B$52,IF((2037-Inputs!$B$51-Inputs!$B$9)=1,Inputs!$B$154,IF((2037-Inputs!$B$51-Inputs!$B$9)=2,Inputs!$C$154,Inputs!$D$154*(1+Inputs!$B$159)^INT(((2037-Inputs!$B$51-Inputs!$B$9)-3)/3)))))*Inputs!$B$148*Inputs!$B$8</f>
        <v>7.78560264508123</v>
      </c>
      <c r="P29" s="41" t="n">
        <f aca="false">IF((2038-Inputs!$B$51-Inputs!$B$9)&lt;0,0,IF((2038-Inputs!$B$51-Inputs!$B$9)=0,Inputs!$B$154*Inputs!$B$52,IF((2038-Inputs!$B$51-Inputs!$B$9)=1,Inputs!$B$154,IF((2038-Inputs!$B$51-Inputs!$B$9)=2,Inputs!$C$154,Inputs!$D$154*(1+Inputs!$B$159)^INT(((2038-Inputs!$B$51-Inputs!$B$9)-3)/3)))))*Inputs!$B$148*Inputs!$B$8</f>
        <v>7.78560264508123</v>
      </c>
      <c r="Q29" s="41" t="n">
        <f aca="false">IF((2039-Inputs!$B$51-Inputs!$B$9)&lt;0,0,IF((2039-Inputs!$B$51-Inputs!$B$9)=0,Inputs!$B$154*Inputs!$B$52,IF((2039-Inputs!$B$51-Inputs!$B$9)=1,Inputs!$B$154,IF((2039-Inputs!$B$51-Inputs!$B$9)=2,Inputs!$C$154,Inputs!$D$154*(1+Inputs!$B$159)^INT(((2039-Inputs!$B$51-Inputs!$B$9)-3)/3)))))*Inputs!$B$148*Inputs!$B$8</f>
        <v>7.78560264508123</v>
      </c>
      <c r="R29" s="41" t="n">
        <f aca="false">IF((2040-Inputs!$B$51-Inputs!$B$9)&lt;0,0,IF((2040-Inputs!$B$51-Inputs!$B$9)=0,Inputs!$B$154*Inputs!$B$52,IF((2040-Inputs!$B$51-Inputs!$B$9)=1,Inputs!$B$154,IF((2040-Inputs!$B$51-Inputs!$B$9)=2,Inputs!$C$154,Inputs!$D$154*(1+Inputs!$B$159)^INT(((2040-Inputs!$B$51-Inputs!$B$9)-3)/3)))))*Inputs!$B$148*Inputs!$B$8</f>
        <v>8.56416290958935</v>
      </c>
      <c r="S29" s="41" t="n">
        <f aca="false">IF((2041-Inputs!$B$51-Inputs!$B$9)&lt;0,0,IF((2041-Inputs!$B$51-Inputs!$B$9)=0,Inputs!$B$154*Inputs!$B$52,IF((2041-Inputs!$B$51-Inputs!$B$9)=1,Inputs!$B$154,IF((2041-Inputs!$B$51-Inputs!$B$9)=2,Inputs!$C$154,Inputs!$D$154*(1+Inputs!$B$159)^INT(((2041-Inputs!$B$51-Inputs!$B$9)-3)/3)))))*Inputs!$B$148*Inputs!$B$8</f>
        <v>8.56416290958935</v>
      </c>
      <c r="T29" s="41" t="n">
        <f aca="false">IF((2042-Inputs!$B$51-Inputs!$B$9)&lt;0,0,IF((2042-Inputs!$B$51-Inputs!$B$9)=0,Inputs!$B$154*Inputs!$B$52,IF((2042-Inputs!$B$51-Inputs!$B$9)=1,Inputs!$B$154,IF((2042-Inputs!$B$51-Inputs!$B$9)=2,Inputs!$C$154,Inputs!$D$154*(1+Inputs!$B$159)^INT(((2042-Inputs!$B$51-Inputs!$B$9)-3)/3)))))*Inputs!$B$148*Inputs!$B$8</f>
        <v>8.56416290958935</v>
      </c>
      <c r="U29" s="41" t="n">
        <f aca="false">IF((2043-Inputs!$B$51-Inputs!$B$9)&lt;0,0,IF((2043-Inputs!$B$51-Inputs!$B$9)=0,Inputs!$B$154*Inputs!$B$52,IF((2043-Inputs!$B$51-Inputs!$B$9)=1,Inputs!$B$154,IF((2043-Inputs!$B$51-Inputs!$B$9)=2,Inputs!$C$154,Inputs!$D$154*(1+Inputs!$B$159)^INT(((2043-Inputs!$B$51-Inputs!$B$9)-3)/3)))))*Inputs!$B$148*Inputs!$B$8</f>
        <v>9.42057920054828</v>
      </c>
      <c r="V29" s="41" t="n">
        <f aca="false">IF((2044-Inputs!$B$51-Inputs!$B$9)&lt;0,0,IF((2044-Inputs!$B$51-Inputs!$B$9)=0,Inputs!$B$154*Inputs!$B$52,IF((2044-Inputs!$B$51-Inputs!$B$9)=1,Inputs!$B$154,IF((2044-Inputs!$B$51-Inputs!$B$9)=2,Inputs!$C$154,Inputs!$D$154*(1+Inputs!$B$159)^INT(((2044-Inputs!$B$51-Inputs!$B$9)-3)/3)))))*Inputs!$B$148*Inputs!$B$8</f>
        <v>9.42057920054828</v>
      </c>
      <c r="W29" s="41" t="n">
        <f aca="false">IF((2045-Inputs!$B$51-Inputs!$B$9)&lt;0,0,IF((2045-Inputs!$B$51-Inputs!$B$9)=0,Inputs!$B$154*Inputs!$B$52,IF((2045-Inputs!$B$51-Inputs!$B$9)=1,Inputs!$B$154,IF((2045-Inputs!$B$51-Inputs!$B$9)=2,Inputs!$C$154,Inputs!$D$154*(1+Inputs!$B$159)^INT(((2045-Inputs!$B$51-Inputs!$B$9)-3)/3)))))*Inputs!$B$148*Inputs!$B$8</f>
        <v>9.42057920054828</v>
      </c>
      <c r="X29" s="41" t="n">
        <f aca="false">IF((2046-Inputs!$B$51-Inputs!$B$9)&lt;0,0,IF((2046-Inputs!$B$51-Inputs!$B$9)=0,Inputs!$B$154*Inputs!$B$52,IF((2046-Inputs!$B$51-Inputs!$B$9)=1,Inputs!$B$154,IF((2046-Inputs!$B$51-Inputs!$B$9)=2,Inputs!$C$154,Inputs!$D$154*(1+Inputs!$B$159)^INT(((2046-Inputs!$B$51-Inputs!$B$9)-3)/3)))))*Inputs!$B$148*Inputs!$B$8</f>
        <v>10.3626371206031</v>
      </c>
      <c r="Y29" s="41" t="n">
        <f aca="false">IF((2047-Inputs!$B$51-Inputs!$B$9)&lt;0,0,IF((2047-Inputs!$B$51-Inputs!$B$9)=0,Inputs!$B$154*Inputs!$B$52,IF((2047-Inputs!$B$51-Inputs!$B$9)=1,Inputs!$B$154,IF((2047-Inputs!$B$51-Inputs!$B$9)=2,Inputs!$C$154,Inputs!$D$154*(1+Inputs!$B$159)^INT(((2047-Inputs!$B$51-Inputs!$B$9)-3)/3)))))*Inputs!$B$148*Inputs!$B$8</f>
        <v>10.3626371206031</v>
      </c>
      <c r="Z29" s="41" t="n">
        <f aca="false">IF((2048-Inputs!$B$51-Inputs!$B$9)&lt;0,0,IF((2048-Inputs!$B$51-Inputs!$B$9)=0,Inputs!$B$154*Inputs!$B$52,IF((2048-Inputs!$B$51-Inputs!$B$9)=1,Inputs!$B$154,IF((2048-Inputs!$B$51-Inputs!$B$9)=2,Inputs!$C$154,Inputs!$D$154*(1+Inputs!$B$159)^INT(((2048-Inputs!$B$51-Inputs!$B$9)-3)/3)))))*Inputs!$B$148*Inputs!$B$8</f>
        <v>10.3626371206031</v>
      </c>
      <c r="AA29" s="41" t="n">
        <f aca="false">IF((2049-Inputs!$B$51-Inputs!$B$9)&lt;0,0,IF((2049-Inputs!$B$51-Inputs!$B$9)=0,Inputs!$B$154*Inputs!$B$52,IF((2049-Inputs!$B$51-Inputs!$B$9)=1,Inputs!$B$154,IF((2049-Inputs!$B$51-Inputs!$B$9)=2,Inputs!$C$154,Inputs!$D$154*(1+Inputs!$B$159)^INT(((2049-Inputs!$B$51-Inputs!$B$9)-3)/3)))))*Inputs!$B$148*Inputs!$B$8</f>
        <v>11.3989008326634</v>
      </c>
      <c r="AB29" s="41" t="n">
        <f aca="false">IF((2050-Inputs!$B$51-Inputs!$B$9)&lt;0,0,IF((2050-Inputs!$B$51-Inputs!$B$9)=0,Inputs!$B$154*Inputs!$B$52,IF((2050-Inputs!$B$51-Inputs!$B$9)=1,Inputs!$B$154,IF((2050-Inputs!$B$51-Inputs!$B$9)=2,Inputs!$C$154,Inputs!$D$154*(1+Inputs!$B$159)^INT(((2050-Inputs!$B$51-Inputs!$B$9)-3)/3)))))*Inputs!$B$148*Inputs!$B$8</f>
        <v>11.3989008326634</v>
      </c>
      <c r="AC29" s="41" t="n">
        <f aca="false">IF((2051-Inputs!$B$51-Inputs!$B$9)&lt;0,0,IF((2051-Inputs!$B$51-Inputs!$B$9)=0,Inputs!$B$154*Inputs!$B$52,IF((2051-Inputs!$B$51-Inputs!$B$9)=1,Inputs!$B$154,IF((2051-Inputs!$B$51-Inputs!$B$9)=2,Inputs!$C$154,Inputs!$D$154*(1+Inputs!$B$159)^INT(((2051-Inputs!$B$51-Inputs!$B$9)-3)/3)))))*Inputs!$B$148*Inputs!$B$8</f>
        <v>11.3989008326634</v>
      </c>
      <c r="AD29" s="41" t="n">
        <f aca="false">IF((2052-Inputs!$B$51-Inputs!$B$9)&lt;0,0,IF((2052-Inputs!$B$51-Inputs!$B$9)=0,Inputs!$B$154*Inputs!$B$52,IF((2052-Inputs!$B$51-Inputs!$B$9)=1,Inputs!$B$154,IF((2052-Inputs!$B$51-Inputs!$B$9)=2,Inputs!$C$154,Inputs!$D$154*(1+Inputs!$B$159)^INT(((2052-Inputs!$B$51-Inputs!$B$9)-3)/3)))))*Inputs!$B$148*Inputs!$B$8</f>
        <v>12.5387909159298</v>
      </c>
      <c r="AE29" s="41" t="n">
        <f aca="false">IF((2053-Inputs!$B$51-Inputs!$B$9)&lt;0,0,IF((2053-Inputs!$B$51-Inputs!$B$9)=0,Inputs!$B$154*Inputs!$B$52,IF((2053-Inputs!$B$51-Inputs!$B$9)=1,Inputs!$B$154,IF((2053-Inputs!$B$51-Inputs!$B$9)=2,Inputs!$C$154,Inputs!$D$154*(1+Inputs!$B$159)^INT(((2053-Inputs!$B$51-Inputs!$B$9)-3)/3)))))*Inputs!$B$148*Inputs!$B$8</f>
        <v>12.5387909159298</v>
      </c>
      <c r="AF29" s="41" t="n">
        <f aca="false">IF((2054-Inputs!$B$51-Inputs!$B$9)&lt;0,0,IF((2054-Inputs!$B$51-Inputs!$B$9)=0,Inputs!$B$154*Inputs!$B$52,IF((2054-Inputs!$B$51-Inputs!$B$9)=1,Inputs!$B$154,IF((2054-Inputs!$B$51-Inputs!$B$9)=2,Inputs!$C$154,Inputs!$D$154*(1+Inputs!$B$159)^INT(((2054-Inputs!$B$51-Inputs!$B$9)-3)/3)))))*Inputs!$B$148*Inputs!$B$8</f>
        <v>12.5387909159298</v>
      </c>
      <c r="AG29" s="41" t="n">
        <f aca="false">IF((2055-Inputs!$B$51-Inputs!$B$9)&lt;0,0,IF((2055-Inputs!$B$51-Inputs!$B$9)=0,Inputs!$B$154*Inputs!$B$52,IF((2055-Inputs!$B$51-Inputs!$B$9)=1,Inputs!$B$154,IF((2055-Inputs!$B$51-Inputs!$B$9)=2,Inputs!$C$154,Inputs!$D$154*(1+Inputs!$B$159)^INT(((2055-Inputs!$B$51-Inputs!$B$9)-3)/3)))))*Inputs!$B$148*Inputs!$B$8</f>
        <v>13.7926700075227</v>
      </c>
      <c r="AH29" s="41" t="n">
        <f aca="false">IF((2056-Inputs!$B$51-Inputs!$B$9)&lt;0,0,IF((2056-Inputs!$B$51-Inputs!$B$9)=0,Inputs!$B$154*Inputs!$B$52,IF((2056-Inputs!$B$51-Inputs!$B$9)=1,Inputs!$B$154,IF((2056-Inputs!$B$51-Inputs!$B$9)=2,Inputs!$C$154,Inputs!$D$154*(1+Inputs!$B$159)^INT(((2056-Inputs!$B$51-Inputs!$B$9)-3)/3)))))*Inputs!$B$148*Inputs!$B$8</f>
        <v>13.7926700075227</v>
      </c>
      <c r="AI29" s="41" t="n">
        <f aca="false">IF((2057-Inputs!$B$51-Inputs!$B$9)&lt;0,0,IF((2057-Inputs!$B$51-Inputs!$B$9)=0,Inputs!$B$154*Inputs!$B$52,IF((2057-Inputs!$B$51-Inputs!$B$9)=1,Inputs!$B$154,IF((2057-Inputs!$B$51-Inputs!$B$9)=2,Inputs!$C$154,Inputs!$D$154*(1+Inputs!$B$159)^INT(((2057-Inputs!$B$51-Inputs!$B$9)-3)/3)))))*Inputs!$B$148*Inputs!$B$8</f>
        <v>13.7926700075227</v>
      </c>
      <c r="AJ29" s="41" t="n">
        <f aca="false">IF((2058-Inputs!$B$51-Inputs!$B$9)&lt;0,0,IF((2058-Inputs!$B$51-Inputs!$B$9)=0,Inputs!$B$154*Inputs!$B$52,IF((2058-Inputs!$B$51-Inputs!$B$9)=1,Inputs!$B$154,IF((2058-Inputs!$B$51-Inputs!$B$9)=2,Inputs!$C$154,Inputs!$D$154*(1+Inputs!$B$159)^INT(((2058-Inputs!$B$51-Inputs!$B$9)-3)/3)))))*Inputs!$B$148*Inputs!$B$8</f>
        <v>15.171937008275</v>
      </c>
      <c r="AK29" s="41" t="n">
        <f aca="false">IF((2059-Inputs!$B$51-Inputs!$B$9)&lt;0,0,IF((2059-Inputs!$B$51-Inputs!$B$9)=0,Inputs!$B$154*Inputs!$B$52,IF((2059-Inputs!$B$51-Inputs!$B$9)=1,Inputs!$B$154,IF((2059-Inputs!$B$51-Inputs!$B$9)=2,Inputs!$C$154,Inputs!$D$154*(1+Inputs!$B$159)^INT(((2059-Inputs!$B$51-Inputs!$B$9)-3)/3)))))*Inputs!$B$148*Inputs!$B$8</f>
        <v>15.171937008275</v>
      </c>
      <c r="AL29" s="41" t="n">
        <f aca="false">IF((2060-Inputs!$B$51-Inputs!$B$9)&lt;0,0,IF((2060-Inputs!$B$51-Inputs!$B$9)=0,Inputs!$B$154*Inputs!$B$52,IF((2060-Inputs!$B$51-Inputs!$B$9)=1,Inputs!$B$154,IF((2060-Inputs!$B$51-Inputs!$B$9)=2,Inputs!$C$154,Inputs!$D$154*(1+Inputs!$B$159)^INT(((2060-Inputs!$B$51-Inputs!$B$9)-3)/3)))))*Inputs!$B$148*Inputs!$B$8</f>
        <v>15.171937008275</v>
      </c>
      <c r="AM29" s="41" t="n">
        <f aca="false">IF((2061-Inputs!$B$51-Inputs!$B$9)&lt;0,0,IF((2061-Inputs!$B$51-Inputs!$B$9)=0,Inputs!$B$154*Inputs!$B$52,IF((2061-Inputs!$B$51-Inputs!$B$9)=1,Inputs!$B$154,IF((2061-Inputs!$B$51-Inputs!$B$9)=2,Inputs!$C$154,Inputs!$D$154*(1+Inputs!$B$159)^INT(((2061-Inputs!$B$51-Inputs!$B$9)-3)/3)))))*Inputs!$B$148*Inputs!$B$8</f>
        <v>16.6891307091025</v>
      </c>
      <c r="AN29" s="41" t="n">
        <f aca="false">IF((2062-Inputs!$B$51-Inputs!$B$9)&lt;0,0,IF((2062-Inputs!$B$51-Inputs!$B$9)=0,Inputs!$B$154*Inputs!$B$52,IF((2062-Inputs!$B$51-Inputs!$B$9)=1,Inputs!$B$154,IF((2062-Inputs!$B$51-Inputs!$B$9)=2,Inputs!$C$154,Inputs!$D$154*(1+Inputs!$B$159)^INT(((2062-Inputs!$B$51-Inputs!$B$9)-3)/3)))))*Inputs!$B$148*Inputs!$B$8</f>
        <v>16.6891307091025</v>
      </c>
      <c r="AO29" s="41" t="n">
        <f aca="false">IF((2063-Inputs!$B$51-Inputs!$B$9)&lt;0,0,IF((2063-Inputs!$B$51-Inputs!$B$9)=0,Inputs!$B$154*Inputs!$B$52,IF((2063-Inputs!$B$51-Inputs!$B$9)=1,Inputs!$B$154,IF((2063-Inputs!$B$51-Inputs!$B$9)=2,Inputs!$C$154,Inputs!$D$154*(1+Inputs!$B$159)^INT(((2063-Inputs!$B$51-Inputs!$B$9)-3)/3)))))*Inputs!$B$148*Inputs!$B$8</f>
        <v>16.6891307091025</v>
      </c>
      <c r="AP29" s="41" t="n">
        <f aca="false">IF((2064-Inputs!$B$51-Inputs!$B$9)&lt;0,0,IF((2064-Inputs!$B$51-Inputs!$B$9)=0,Inputs!$B$154*Inputs!$B$52,IF((2064-Inputs!$B$51-Inputs!$B$9)=1,Inputs!$B$154,IF((2064-Inputs!$B$51-Inputs!$B$9)=2,Inputs!$C$154,Inputs!$D$154*(1+Inputs!$B$159)^INT(((2064-Inputs!$B$51-Inputs!$B$9)-3)/3)))))*Inputs!$B$148*Inputs!$B$8</f>
        <v>18.3580437800128</v>
      </c>
      <c r="AQ29" s="41" t="n">
        <f aca="false">IF((2065-Inputs!$B$51-Inputs!$B$9)&lt;0,0,IF((2065-Inputs!$B$51-Inputs!$B$9)=0,Inputs!$B$154*Inputs!$B$52,IF((2065-Inputs!$B$51-Inputs!$B$9)=1,Inputs!$B$154,IF((2065-Inputs!$B$51-Inputs!$B$9)=2,Inputs!$C$154,Inputs!$D$154*(1+Inputs!$B$159)^INT(((2065-Inputs!$B$51-Inputs!$B$9)-3)/3)))))*Inputs!$B$148*Inputs!$B$8</f>
        <v>18.3580437800128</v>
      </c>
      <c r="AR29" s="41" t="n">
        <f aca="false">IF((2066-Inputs!$B$51-Inputs!$B$9)&lt;0,0,IF((2066-Inputs!$B$51-Inputs!$B$9)=0,Inputs!$B$154*Inputs!$B$52,IF((2066-Inputs!$B$51-Inputs!$B$9)=1,Inputs!$B$154,IF((2066-Inputs!$B$51-Inputs!$B$9)=2,Inputs!$C$154,Inputs!$D$154*(1+Inputs!$B$159)^INT(((2066-Inputs!$B$51-Inputs!$B$9)-3)/3)))))*Inputs!$B$148*Inputs!$B$8</f>
        <v>18.3580437800128</v>
      </c>
      <c r="AS29" s="41" t="n">
        <f aca="false">IF((2067-Inputs!$B$51-Inputs!$B$9)&lt;0,0,IF((2067-Inputs!$B$51-Inputs!$B$9)=0,Inputs!$B$154*Inputs!$B$52,IF((2067-Inputs!$B$51-Inputs!$B$9)=1,Inputs!$B$154,IF((2067-Inputs!$B$51-Inputs!$B$9)=2,Inputs!$C$154,Inputs!$D$154*(1+Inputs!$B$159)^INT(((2067-Inputs!$B$51-Inputs!$B$9)-3)/3)))))*Inputs!$B$148*Inputs!$B$8</f>
        <v>20.1938481580141</v>
      </c>
      <c r="AT29" s="41" t="n">
        <f aca="false">IF((2068-Inputs!$B$51-Inputs!$B$9)&lt;0,0,IF((2068-Inputs!$B$51-Inputs!$B$9)=0,Inputs!$B$154*Inputs!$B$52,IF((2068-Inputs!$B$51-Inputs!$B$9)=1,Inputs!$B$154,IF((2068-Inputs!$B$51-Inputs!$B$9)=2,Inputs!$C$154,Inputs!$D$154*(1+Inputs!$B$159)^INT(((2068-Inputs!$B$51-Inputs!$B$9)-3)/3)))))*Inputs!$B$148*Inputs!$B$8</f>
        <v>20.1938481580141</v>
      </c>
      <c r="AU29" s="41" t="n">
        <f aca="false">IF((2069-Inputs!$B$51-Inputs!$B$9)&lt;0,0,IF((2069-Inputs!$B$51-Inputs!$B$9)=0,Inputs!$B$154*Inputs!$B$52,IF((2069-Inputs!$B$51-Inputs!$B$9)=1,Inputs!$B$154,IF((2069-Inputs!$B$51-Inputs!$B$9)=2,Inputs!$C$154,Inputs!$D$154*(1+Inputs!$B$159)^INT(((2069-Inputs!$B$51-Inputs!$B$9)-3)/3)))))*Inputs!$B$148*Inputs!$B$8</f>
        <v>20.1938481580141</v>
      </c>
      <c r="AV29" s="41" t="n">
        <f aca="false">IF((2070-Inputs!$B$51-Inputs!$B$9)&lt;0,0,IF((2070-Inputs!$B$51-Inputs!$B$9)=0,Inputs!$B$154*Inputs!$B$52,IF((2070-Inputs!$B$51-Inputs!$B$9)=1,Inputs!$B$154,IF((2070-Inputs!$B$51-Inputs!$B$9)=2,Inputs!$C$154,Inputs!$D$154*(1+Inputs!$B$159)^INT(((2070-Inputs!$B$51-Inputs!$B$9)-3)/3)))))*Inputs!$B$148*Inputs!$B$8</f>
        <v>22.2132329738155</v>
      </c>
      <c r="AW29" s="41" t="n">
        <f aca="false">IF((2071-Inputs!$B$51-Inputs!$B$9)&lt;0,0,IF((2071-Inputs!$B$51-Inputs!$B$9)=0,Inputs!$B$154*Inputs!$B$52,IF((2071-Inputs!$B$51-Inputs!$B$9)=1,Inputs!$B$154,IF((2071-Inputs!$B$51-Inputs!$B$9)=2,Inputs!$C$154,Inputs!$D$154*(1+Inputs!$B$159)^INT(((2071-Inputs!$B$51-Inputs!$B$9)-3)/3)))))*Inputs!$B$148*Inputs!$B$8</f>
        <v>22.2132329738155</v>
      </c>
      <c r="AX29" s="41" t="n">
        <f aca="false">IF((2072-Inputs!$B$51-Inputs!$B$9)&lt;0,0,IF((2072-Inputs!$B$51-Inputs!$B$9)=0,Inputs!$B$154*Inputs!$B$52,IF((2072-Inputs!$B$51-Inputs!$B$9)=1,Inputs!$B$154,IF((2072-Inputs!$B$51-Inputs!$B$9)=2,Inputs!$C$154,Inputs!$D$154*(1+Inputs!$B$159)^INT(((2072-Inputs!$B$51-Inputs!$B$9)-3)/3)))))*Inputs!$B$148*Inputs!$B$8</f>
        <v>22.2132329738155</v>
      </c>
      <c r="AY29" s="41" t="n">
        <f aca="false">IF((2073-Inputs!$B$51-Inputs!$B$9)&lt;0,0,IF((2073-Inputs!$B$51-Inputs!$B$9)=0,Inputs!$B$154*Inputs!$B$52,IF((2073-Inputs!$B$51-Inputs!$B$9)=1,Inputs!$B$154,IF((2073-Inputs!$B$51-Inputs!$B$9)=2,Inputs!$C$154,Inputs!$D$154*(1+Inputs!$B$159)^INT(((2073-Inputs!$B$51-Inputs!$B$9)-3)/3)))))*Inputs!$B$148*Inputs!$B$8</f>
        <v>24.434556271197</v>
      </c>
      <c r="AZ29" s="41" t="n">
        <f aca="false">IF((2074-Inputs!$B$51-Inputs!$B$9)&lt;0,0,IF((2074-Inputs!$B$51-Inputs!$B$9)=0,Inputs!$B$154*Inputs!$B$52,IF((2074-Inputs!$B$51-Inputs!$B$9)=1,Inputs!$B$154,IF((2074-Inputs!$B$51-Inputs!$B$9)=2,Inputs!$C$154,Inputs!$D$154*(1+Inputs!$B$159)^INT(((2074-Inputs!$B$51-Inputs!$B$9)-3)/3)))))*Inputs!$B$148*Inputs!$B$8</f>
        <v>24.434556271197</v>
      </c>
    </row>
    <row r="30" customFormat="false" ht="15" hidden="false" customHeight="true" outlineLevel="0" collapsed="false">
      <c r="A30" s="13" t="s">
        <v>239</v>
      </c>
      <c r="B30" s="15" t="s">
        <v>633</v>
      </c>
      <c r="C30" s="41" t="n">
        <f aca="false">SUM(D30:AZ30)</f>
        <v>582.126990395106</v>
      </c>
      <c r="D30" s="41" t="n">
        <f aca="false">IF((2026-Inputs!$B$51-Inputs!$B$9)&lt;0,0,IF((2026-Inputs!$B$51-Inputs!$B$9)=0,Inputs!$B$155*Inputs!$B$52,IF((2026-Inputs!$B$51-Inputs!$B$9)=1,Inputs!$B$155,IF((2026-Inputs!$B$51-Inputs!$B$9)=2,Inputs!$C$155,Inputs!$D$155*(1+Inputs!$B$159)^INT(((2026-Inputs!$B$51-Inputs!$B$9)-3)/3)))))*Inputs!$B$148*Inputs!$B$8</f>
        <v>0</v>
      </c>
      <c r="E30" s="41" t="n">
        <f aca="false">IF((2027-Inputs!$B$51-Inputs!$B$9)&lt;0,0,IF((2027-Inputs!$B$51-Inputs!$B$9)=0,Inputs!$B$155*Inputs!$B$52,IF((2027-Inputs!$B$51-Inputs!$B$9)=1,Inputs!$B$155,IF((2027-Inputs!$B$51-Inputs!$B$9)=2,Inputs!$C$155,Inputs!$D$155*(1+Inputs!$B$159)^INT(((2027-Inputs!$B$51-Inputs!$B$9)-3)/3)))))*Inputs!$B$148*Inputs!$B$8</f>
        <v>0</v>
      </c>
      <c r="F30" s="41" t="n">
        <f aca="false">IF((2028-Inputs!$B$51-Inputs!$B$9)&lt;0,0,IF((2028-Inputs!$B$51-Inputs!$B$9)=0,Inputs!$B$155*Inputs!$B$52,IF((2028-Inputs!$B$51-Inputs!$B$9)=1,Inputs!$B$155,IF((2028-Inputs!$B$51-Inputs!$B$9)=2,Inputs!$C$155,Inputs!$D$155*(1+Inputs!$B$159)^INT(((2028-Inputs!$B$51-Inputs!$B$9)-3)/3)))))*Inputs!$B$148*Inputs!$B$8</f>
        <v>1.28687647026136</v>
      </c>
      <c r="G30" s="41" t="n">
        <f aca="false">IF((2029-Inputs!$B$51-Inputs!$B$9)&lt;0,0,IF((2029-Inputs!$B$51-Inputs!$B$9)=0,Inputs!$B$155*Inputs!$B$52,IF((2029-Inputs!$B$51-Inputs!$B$9)=1,Inputs!$B$155,IF((2029-Inputs!$B$51-Inputs!$B$9)=2,Inputs!$C$155,Inputs!$D$155*(1+Inputs!$B$159)^INT(((2029-Inputs!$B$51-Inputs!$B$9)-3)/3)))))*Inputs!$B$148*Inputs!$B$8</f>
        <v>5.14750588104544</v>
      </c>
      <c r="H30" s="41" t="n">
        <f aca="false">IF((2030-Inputs!$B$51-Inputs!$B$9)&lt;0,0,IF((2030-Inputs!$B$51-Inputs!$B$9)=0,Inputs!$B$155*Inputs!$B$52,IF((2030-Inputs!$B$51-Inputs!$B$9)=1,Inputs!$B$155,IF((2030-Inputs!$B$51-Inputs!$B$9)=2,Inputs!$C$155,Inputs!$D$155*(1+Inputs!$B$159)^INT(((2030-Inputs!$B$51-Inputs!$B$9)-3)/3)))))*Inputs!$B$148*Inputs!$B$8</f>
        <v>5.66225646914998</v>
      </c>
      <c r="I30" s="41" t="n">
        <f aca="false">IF((2031-Inputs!$B$51-Inputs!$B$9)&lt;0,0,IF((2031-Inputs!$B$51-Inputs!$B$9)=0,Inputs!$B$155*Inputs!$B$52,IF((2031-Inputs!$B$51-Inputs!$B$9)=1,Inputs!$B$155,IF((2031-Inputs!$B$51-Inputs!$B$9)=2,Inputs!$C$155,Inputs!$D$155*(1+Inputs!$B$159)^INT(((2031-Inputs!$B$51-Inputs!$B$9)-3)/3)))))*Inputs!$B$148*Inputs!$B$8</f>
        <v>6.22848211606498</v>
      </c>
      <c r="J30" s="41" t="n">
        <f aca="false">IF((2032-Inputs!$B$51-Inputs!$B$9)&lt;0,0,IF((2032-Inputs!$B$51-Inputs!$B$9)=0,Inputs!$B$155*Inputs!$B$52,IF((2032-Inputs!$B$51-Inputs!$B$9)=1,Inputs!$B$155,IF((2032-Inputs!$B$51-Inputs!$B$9)=2,Inputs!$C$155,Inputs!$D$155*(1+Inputs!$B$159)^INT(((2032-Inputs!$B$51-Inputs!$B$9)-3)/3)))))*Inputs!$B$148*Inputs!$B$8</f>
        <v>6.22848211606498</v>
      </c>
      <c r="K30" s="41" t="n">
        <f aca="false">IF((2033-Inputs!$B$51-Inputs!$B$9)&lt;0,0,IF((2033-Inputs!$B$51-Inputs!$B$9)=0,Inputs!$B$155*Inputs!$B$52,IF((2033-Inputs!$B$51-Inputs!$B$9)=1,Inputs!$B$155,IF((2033-Inputs!$B$51-Inputs!$B$9)=2,Inputs!$C$155,Inputs!$D$155*(1+Inputs!$B$159)^INT(((2033-Inputs!$B$51-Inputs!$B$9)-3)/3)))))*Inputs!$B$148*Inputs!$B$8</f>
        <v>6.22848211606498</v>
      </c>
      <c r="L30" s="41" t="n">
        <f aca="false">IF((2034-Inputs!$B$51-Inputs!$B$9)&lt;0,0,IF((2034-Inputs!$B$51-Inputs!$B$9)=0,Inputs!$B$155*Inputs!$B$52,IF((2034-Inputs!$B$51-Inputs!$B$9)=1,Inputs!$B$155,IF((2034-Inputs!$B$51-Inputs!$B$9)=2,Inputs!$C$155,Inputs!$D$155*(1+Inputs!$B$159)^INT(((2034-Inputs!$B$51-Inputs!$B$9)-3)/3)))))*Inputs!$B$148*Inputs!$B$8</f>
        <v>6.85133032767148</v>
      </c>
      <c r="M30" s="41" t="n">
        <f aca="false">IF((2035-Inputs!$B$51-Inputs!$B$9)&lt;0,0,IF((2035-Inputs!$B$51-Inputs!$B$9)=0,Inputs!$B$155*Inputs!$B$52,IF((2035-Inputs!$B$51-Inputs!$B$9)=1,Inputs!$B$155,IF((2035-Inputs!$B$51-Inputs!$B$9)=2,Inputs!$C$155,Inputs!$D$155*(1+Inputs!$B$159)^INT(((2035-Inputs!$B$51-Inputs!$B$9)-3)/3)))))*Inputs!$B$148*Inputs!$B$8</f>
        <v>6.85133032767148</v>
      </c>
      <c r="N30" s="41" t="n">
        <f aca="false">IF((2036-Inputs!$B$51-Inputs!$B$9)&lt;0,0,IF((2036-Inputs!$B$51-Inputs!$B$9)=0,Inputs!$B$155*Inputs!$B$52,IF((2036-Inputs!$B$51-Inputs!$B$9)=1,Inputs!$B$155,IF((2036-Inputs!$B$51-Inputs!$B$9)=2,Inputs!$C$155,Inputs!$D$155*(1+Inputs!$B$159)^INT(((2036-Inputs!$B$51-Inputs!$B$9)-3)/3)))))*Inputs!$B$148*Inputs!$B$8</f>
        <v>6.85133032767148</v>
      </c>
      <c r="O30" s="41" t="n">
        <f aca="false">IF((2037-Inputs!$B$51-Inputs!$B$9)&lt;0,0,IF((2037-Inputs!$B$51-Inputs!$B$9)=0,Inputs!$B$155*Inputs!$B$52,IF((2037-Inputs!$B$51-Inputs!$B$9)=1,Inputs!$B$155,IF((2037-Inputs!$B$51-Inputs!$B$9)=2,Inputs!$C$155,Inputs!$D$155*(1+Inputs!$B$159)^INT(((2037-Inputs!$B$51-Inputs!$B$9)-3)/3)))))*Inputs!$B$148*Inputs!$B$8</f>
        <v>7.53646336043863</v>
      </c>
      <c r="P30" s="41" t="n">
        <f aca="false">IF((2038-Inputs!$B$51-Inputs!$B$9)&lt;0,0,IF((2038-Inputs!$B$51-Inputs!$B$9)=0,Inputs!$B$155*Inputs!$B$52,IF((2038-Inputs!$B$51-Inputs!$B$9)=1,Inputs!$B$155,IF((2038-Inputs!$B$51-Inputs!$B$9)=2,Inputs!$C$155,Inputs!$D$155*(1+Inputs!$B$159)^INT(((2038-Inputs!$B$51-Inputs!$B$9)-3)/3)))))*Inputs!$B$148*Inputs!$B$8</f>
        <v>7.53646336043863</v>
      </c>
      <c r="Q30" s="41" t="n">
        <f aca="false">IF((2039-Inputs!$B$51-Inputs!$B$9)&lt;0,0,IF((2039-Inputs!$B$51-Inputs!$B$9)=0,Inputs!$B$155*Inputs!$B$52,IF((2039-Inputs!$B$51-Inputs!$B$9)=1,Inputs!$B$155,IF((2039-Inputs!$B$51-Inputs!$B$9)=2,Inputs!$C$155,Inputs!$D$155*(1+Inputs!$B$159)^INT(((2039-Inputs!$B$51-Inputs!$B$9)-3)/3)))))*Inputs!$B$148*Inputs!$B$8</f>
        <v>7.53646336043863</v>
      </c>
      <c r="R30" s="41" t="n">
        <f aca="false">IF((2040-Inputs!$B$51-Inputs!$B$9)&lt;0,0,IF((2040-Inputs!$B$51-Inputs!$B$9)=0,Inputs!$B$155*Inputs!$B$52,IF((2040-Inputs!$B$51-Inputs!$B$9)=1,Inputs!$B$155,IF((2040-Inputs!$B$51-Inputs!$B$9)=2,Inputs!$C$155,Inputs!$D$155*(1+Inputs!$B$159)^INT(((2040-Inputs!$B$51-Inputs!$B$9)-3)/3)))))*Inputs!$B$148*Inputs!$B$8</f>
        <v>8.29010969648249</v>
      </c>
      <c r="S30" s="41" t="n">
        <f aca="false">IF((2041-Inputs!$B$51-Inputs!$B$9)&lt;0,0,IF((2041-Inputs!$B$51-Inputs!$B$9)=0,Inputs!$B$155*Inputs!$B$52,IF((2041-Inputs!$B$51-Inputs!$B$9)=1,Inputs!$B$155,IF((2041-Inputs!$B$51-Inputs!$B$9)=2,Inputs!$C$155,Inputs!$D$155*(1+Inputs!$B$159)^INT(((2041-Inputs!$B$51-Inputs!$B$9)-3)/3)))))*Inputs!$B$148*Inputs!$B$8</f>
        <v>8.29010969648249</v>
      </c>
      <c r="T30" s="41" t="n">
        <f aca="false">IF((2042-Inputs!$B$51-Inputs!$B$9)&lt;0,0,IF((2042-Inputs!$B$51-Inputs!$B$9)=0,Inputs!$B$155*Inputs!$B$52,IF((2042-Inputs!$B$51-Inputs!$B$9)=1,Inputs!$B$155,IF((2042-Inputs!$B$51-Inputs!$B$9)=2,Inputs!$C$155,Inputs!$D$155*(1+Inputs!$B$159)^INT(((2042-Inputs!$B$51-Inputs!$B$9)-3)/3)))))*Inputs!$B$148*Inputs!$B$8</f>
        <v>8.29010969648249</v>
      </c>
      <c r="U30" s="41" t="n">
        <f aca="false">IF((2043-Inputs!$B$51-Inputs!$B$9)&lt;0,0,IF((2043-Inputs!$B$51-Inputs!$B$9)=0,Inputs!$B$155*Inputs!$B$52,IF((2043-Inputs!$B$51-Inputs!$B$9)=1,Inputs!$B$155,IF((2043-Inputs!$B$51-Inputs!$B$9)=2,Inputs!$C$155,Inputs!$D$155*(1+Inputs!$B$159)^INT(((2043-Inputs!$B$51-Inputs!$B$9)-3)/3)))))*Inputs!$B$148*Inputs!$B$8</f>
        <v>9.11912066613074</v>
      </c>
      <c r="V30" s="41" t="n">
        <f aca="false">IF((2044-Inputs!$B$51-Inputs!$B$9)&lt;0,0,IF((2044-Inputs!$B$51-Inputs!$B$9)=0,Inputs!$B$155*Inputs!$B$52,IF((2044-Inputs!$B$51-Inputs!$B$9)=1,Inputs!$B$155,IF((2044-Inputs!$B$51-Inputs!$B$9)=2,Inputs!$C$155,Inputs!$D$155*(1+Inputs!$B$159)^INT(((2044-Inputs!$B$51-Inputs!$B$9)-3)/3)))))*Inputs!$B$148*Inputs!$B$8</f>
        <v>9.11912066613074</v>
      </c>
      <c r="W30" s="41" t="n">
        <f aca="false">IF((2045-Inputs!$B$51-Inputs!$B$9)&lt;0,0,IF((2045-Inputs!$B$51-Inputs!$B$9)=0,Inputs!$B$155*Inputs!$B$52,IF((2045-Inputs!$B$51-Inputs!$B$9)=1,Inputs!$B$155,IF((2045-Inputs!$B$51-Inputs!$B$9)=2,Inputs!$C$155,Inputs!$D$155*(1+Inputs!$B$159)^INT(((2045-Inputs!$B$51-Inputs!$B$9)-3)/3)))))*Inputs!$B$148*Inputs!$B$8</f>
        <v>9.11912066613074</v>
      </c>
      <c r="X30" s="41" t="n">
        <f aca="false">IF((2046-Inputs!$B$51-Inputs!$B$9)&lt;0,0,IF((2046-Inputs!$B$51-Inputs!$B$9)=0,Inputs!$B$155*Inputs!$B$52,IF((2046-Inputs!$B$51-Inputs!$B$9)=1,Inputs!$B$155,IF((2046-Inputs!$B$51-Inputs!$B$9)=2,Inputs!$C$155,Inputs!$D$155*(1+Inputs!$B$159)^INT(((2046-Inputs!$B$51-Inputs!$B$9)-3)/3)))))*Inputs!$B$148*Inputs!$B$8</f>
        <v>10.0310327327438</v>
      </c>
      <c r="Y30" s="41" t="n">
        <f aca="false">IF((2047-Inputs!$B$51-Inputs!$B$9)&lt;0,0,IF((2047-Inputs!$B$51-Inputs!$B$9)=0,Inputs!$B$155*Inputs!$B$52,IF((2047-Inputs!$B$51-Inputs!$B$9)=1,Inputs!$B$155,IF((2047-Inputs!$B$51-Inputs!$B$9)=2,Inputs!$C$155,Inputs!$D$155*(1+Inputs!$B$159)^INT(((2047-Inputs!$B$51-Inputs!$B$9)-3)/3)))))*Inputs!$B$148*Inputs!$B$8</f>
        <v>10.0310327327438</v>
      </c>
      <c r="Z30" s="41" t="n">
        <f aca="false">IF((2048-Inputs!$B$51-Inputs!$B$9)&lt;0,0,IF((2048-Inputs!$B$51-Inputs!$B$9)=0,Inputs!$B$155*Inputs!$B$52,IF((2048-Inputs!$B$51-Inputs!$B$9)=1,Inputs!$B$155,IF((2048-Inputs!$B$51-Inputs!$B$9)=2,Inputs!$C$155,Inputs!$D$155*(1+Inputs!$B$159)^INT(((2048-Inputs!$B$51-Inputs!$B$9)-3)/3)))))*Inputs!$B$148*Inputs!$B$8</f>
        <v>10.0310327327438</v>
      </c>
      <c r="AA30" s="41" t="n">
        <f aca="false">IF((2049-Inputs!$B$51-Inputs!$B$9)&lt;0,0,IF((2049-Inputs!$B$51-Inputs!$B$9)=0,Inputs!$B$155*Inputs!$B$52,IF((2049-Inputs!$B$51-Inputs!$B$9)=1,Inputs!$B$155,IF((2049-Inputs!$B$51-Inputs!$B$9)=2,Inputs!$C$155,Inputs!$D$155*(1+Inputs!$B$159)^INT(((2049-Inputs!$B$51-Inputs!$B$9)-3)/3)))))*Inputs!$B$148*Inputs!$B$8</f>
        <v>11.0341360060182</v>
      </c>
      <c r="AB30" s="41" t="n">
        <f aca="false">IF((2050-Inputs!$B$51-Inputs!$B$9)&lt;0,0,IF((2050-Inputs!$B$51-Inputs!$B$9)=0,Inputs!$B$155*Inputs!$B$52,IF((2050-Inputs!$B$51-Inputs!$B$9)=1,Inputs!$B$155,IF((2050-Inputs!$B$51-Inputs!$B$9)=2,Inputs!$C$155,Inputs!$D$155*(1+Inputs!$B$159)^INT(((2050-Inputs!$B$51-Inputs!$B$9)-3)/3)))))*Inputs!$B$148*Inputs!$B$8</f>
        <v>11.0341360060182</v>
      </c>
      <c r="AC30" s="41" t="n">
        <f aca="false">IF((2051-Inputs!$B$51-Inputs!$B$9)&lt;0,0,IF((2051-Inputs!$B$51-Inputs!$B$9)=0,Inputs!$B$155*Inputs!$B$52,IF((2051-Inputs!$B$51-Inputs!$B$9)=1,Inputs!$B$155,IF((2051-Inputs!$B$51-Inputs!$B$9)=2,Inputs!$C$155,Inputs!$D$155*(1+Inputs!$B$159)^INT(((2051-Inputs!$B$51-Inputs!$B$9)-3)/3)))))*Inputs!$B$148*Inputs!$B$8</f>
        <v>11.0341360060182</v>
      </c>
      <c r="AD30" s="41" t="n">
        <f aca="false">IF((2052-Inputs!$B$51-Inputs!$B$9)&lt;0,0,IF((2052-Inputs!$B$51-Inputs!$B$9)=0,Inputs!$B$155*Inputs!$B$52,IF((2052-Inputs!$B$51-Inputs!$B$9)=1,Inputs!$B$155,IF((2052-Inputs!$B$51-Inputs!$B$9)=2,Inputs!$C$155,Inputs!$D$155*(1+Inputs!$B$159)^INT(((2052-Inputs!$B$51-Inputs!$B$9)-3)/3)))))*Inputs!$B$148*Inputs!$B$8</f>
        <v>12.13754960662</v>
      </c>
      <c r="AE30" s="41" t="n">
        <f aca="false">IF((2053-Inputs!$B$51-Inputs!$B$9)&lt;0,0,IF((2053-Inputs!$B$51-Inputs!$B$9)=0,Inputs!$B$155*Inputs!$B$52,IF((2053-Inputs!$B$51-Inputs!$B$9)=1,Inputs!$B$155,IF((2053-Inputs!$B$51-Inputs!$B$9)=2,Inputs!$C$155,Inputs!$D$155*(1+Inputs!$B$159)^INT(((2053-Inputs!$B$51-Inputs!$B$9)-3)/3)))))*Inputs!$B$148*Inputs!$B$8</f>
        <v>12.13754960662</v>
      </c>
      <c r="AF30" s="41" t="n">
        <f aca="false">IF((2054-Inputs!$B$51-Inputs!$B$9)&lt;0,0,IF((2054-Inputs!$B$51-Inputs!$B$9)=0,Inputs!$B$155*Inputs!$B$52,IF((2054-Inputs!$B$51-Inputs!$B$9)=1,Inputs!$B$155,IF((2054-Inputs!$B$51-Inputs!$B$9)=2,Inputs!$C$155,Inputs!$D$155*(1+Inputs!$B$159)^INT(((2054-Inputs!$B$51-Inputs!$B$9)-3)/3)))))*Inputs!$B$148*Inputs!$B$8</f>
        <v>12.13754960662</v>
      </c>
      <c r="AG30" s="41" t="n">
        <f aca="false">IF((2055-Inputs!$B$51-Inputs!$B$9)&lt;0,0,IF((2055-Inputs!$B$51-Inputs!$B$9)=0,Inputs!$B$155*Inputs!$B$52,IF((2055-Inputs!$B$51-Inputs!$B$9)=1,Inputs!$B$155,IF((2055-Inputs!$B$51-Inputs!$B$9)=2,Inputs!$C$155,Inputs!$D$155*(1+Inputs!$B$159)^INT(((2055-Inputs!$B$51-Inputs!$B$9)-3)/3)))))*Inputs!$B$148*Inputs!$B$8</f>
        <v>13.351304567282</v>
      </c>
      <c r="AH30" s="41" t="n">
        <f aca="false">IF((2056-Inputs!$B$51-Inputs!$B$9)&lt;0,0,IF((2056-Inputs!$B$51-Inputs!$B$9)=0,Inputs!$B$155*Inputs!$B$52,IF((2056-Inputs!$B$51-Inputs!$B$9)=1,Inputs!$B$155,IF((2056-Inputs!$B$51-Inputs!$B$9)=2,Inputs!$C$155,Inputs!$D$155*(1+Inputs!$B$159)^INT(((2056-Inputs!$B$51-Inputs!$B$9)-3)/3)))))*Inputs!$B$148*Inputs!$B$8</f>
        <v>13.351304567282</v>
      </c>
      <c r="AI30" s="41" t="n">
        <f aca="false">IF((2057-Inputs!$B$51-Inputs!$B$9)&lt;0,0,IF((2057-Inputs!$B$51-Inputs!$B$9)=0,Inputs!$B$155*Inputs!$B$52,IF((2057-Inputs!$B$51-Inputs!$B$9)=1,Inputs!$B$155,IF((2057-Inputs!$B$51-Inputs!$B$9)=2,Inputs!$C$155,Inputs!$D$155*(1+Inputs!$B$159)^INT(((2057-Inputs!$B$51-Inputs!$B$9)-3)/3)))))*Inputs!$B$148*Inputs!$B$8</f>
        <v>13.351304567282</v>
      </c>
      <c r="AJ30" s="41" t="n">
        <f aca="false">IF((2058-Inputs!$B$51-Inputs!$B$9)&lt;0,0,IF((2058-Inputs!$B$51-Inputs!$B$9)=0,Inputs!$B$155*Inputs!$B$52,IF((2058-Inputs!$B$51-Inputs!$B$9)=1,Inputs!$B$155,IF((2058-Inputs!$B$51-Inputs!$B$9)=2,Inputs!$C$155,Inputs!$D$155*(1+Inputs!$B$159)^INT(((2058-Inputs!$B$51-Inputs!$B$9)-3)/3)))))*Inputs!$B$148*Inputs!$B$8</f>
        <v>14.6864350240102</v>
      </c>
      <c r="AK30" s="41" t="n">
        <f aca="false">IF((2059-Inputs!$B$51-Inputs!$B$9)&lt;0,0,IF((2059-Inputs!$B$51-Inputs!$B$9)=0,Inputs!$B$155*Inputs!$B$52,IF((2059-Inputs!$B$51-Inputs!$B$9)=1,Inputs!$B$155,IF((2059-Inputs!$B$51-Inputs!$B$9)=2,Inputs!$C$155,Inputs!$D$155*(1+Inputs!$B$159)^INT(((2059-Inputs!$B$51-Inputs!$B$9)-3)/3)))))*Inputs!$B$148*Inputs!$B$8</f>
        <v>14.6864350240102</v>
      </c>
      <c r="AL30" s="41" t="n">
        <f aca="false">IF((2060-Inputs!$B$51-Inputs!$B$9)&lt;0,0,IF((2060-Inputs!$B$51-Inputs!$B$9)=0,Inputs!$B$155*Inputs!$B$52,IF((2060-Inputs!$B$51-Inputs!$B$9)=1,Inputs!$B$155,IF((2060-Inputs!$B$51-Inputs!$B$9)=2,Inputs!$C$155,Inputs!$D$155*(1+Inputs!$B$159)^INT(((2060-Inputs!$B$51-Inputs!$B$9)-3)/3)))))*Inputs!$B$148*Inputs!$B$8</f>
        <v>14.6864350240102</v>
      </c>
      <c r="AM30" s="41" t="n">
        <f aca="false">IF((2061-Inputs!$B$51-Inputs!$B$9)&lt;0,0,IF((2061-Inputs!$B$51-Inputs!$B$9)=0,Inputs!$B$155*Inputs!$B$52,IF((2061-Inputs!$B$51-Inputs!$B$9)=1,Inputs!$B$155,IF((2061-Inputs!$B$51-Inputs!$B$9)=2,Inputs!$C$155,Inputs!$D$155*(1+Inputs!$B$159)^INT(((2061-Inputs!$B$51-Inputs!$B$9)-3)/3)))))*Inputs!$B$148*Inputs!$B$8</f>
        <v>16.1550785264112</v>
      </c>
      <c r="AN30" s="41" t="n">
        <f aca="false">IF((2062-Inputs!$B$51-Inputs!$B$9)&lt;0,0,IF((2062-Inputs!$B$51-Inputs!$B$9)=0,Inputs!$B$155*Inputs!$B$52,IF((2062-Inputs!$B$51-Inputs!$B$9)=1,Inputs!$B$155,IF((2062-Inputs!$B$51-Inputs!$B$9)=2,Inputs!$C$155,Inputs!$D$155*(1+Inputs!$B$159)^INT(((2062-Inputs!$B$51-Inputs!$B$9)-3)/3)))))*Inputs!$B$148*Inputs!$B$8</f>
        <v>16.1550785264112</v>
      </c>
      <c r="AO30" s="41" t="n">
        <f aca="false">IF((2063-Inputs!$B$51-Inputs!$B$9)&lt;0,0,IF((2063-Inputs!$B$51-Inputs!$B$9)=0,Inputs!$B$155*Inputs!$B$52,IF((2063-Inputs!$B$51-Inputs!$B$9)=1,Inputs!$B$155,IF((2063-Inputs!$B$51-Inputs!$B$9)=2,Inputs!$C$155,Inputs!$D$155*(1+Inputs!$B$159)^INT(((2063-Inputs!$B$51-Inputs!$B$9)-3)/3)))))*Inputs!$B$148*Inputs!$B$8</f>
        <v>16.1550785264112</v>
      </c>
      <c r="AP30" s="41" t="n">
        <f aca="false">IF((2064-Inputs!$B$51-Inputs!$B$9)&lt;0,0,IF((2064-Inputs!$B$51-Inputs!$B$9)=0,Inputs!$B$155*Inputs!$B$52,IF((2064-Inputs!$B$51-Inputs!$B$9)=1,Inputs!$B$155,IF((2064-Inputs!$B$51-Inputs!$B$9)=2,Inputs!$C$155,Inputs!$D$155*(1+Inputs!$B$159)^INT(((2064-Inputs!$B$51-Inputs!$B$9)-3)/3)))))*Inputs!$B$148*Inputs!$B$8</f>
        <v>17.7705863790524</v>
      </c>
      <c r="AQ30" s="41" t="n">
        <f aca="false">IF((2065-Inputs!$B$51-Inputs!$B$9)&lt;0,0,IF((2065-Inputs!$B$51-Inputs!$B$9)=0,Inputs!$B$155*Inputs!$B$52,IF((2065-Inputs!$B$51-Inputs!$B$9)=1,Inputs!$B$155,IF((2065-Inputs!$B$51-Inputs!$B$9)=2,Inputs!$C$155,Inputs!$D$155*(1+Inputs!$B$159)^INT(((2065-Inputs!$B$51-Inputs!$B$9)-3)/3)))))*Inputs!$B$148*Inputs!$B$8</f>
        <v>17.7705863790524</v>
      </c>
      <c r="AR30" s="41" t="n">
        <f aca="false">IF((2066-Inputs!$B$51-Inputs!$B$9)&lt;0,0,IF((2066-Inputs!$B$51-Inputs!$B$9)=0,Inputs!$B$155*Inputs!$B$52,IF((2066-Inputs!$B$51-Inputs!$B$9)=1,Inputs!$B$155,IF((2066-Inputs!$B$51-Inputs!$B$9)=2,Inputs!$C$155,Inputs!$D$155*(1+Inputs!$B$159)^INT(((2066-Inputs!$B$51-Inputs!$B$9)-3)/3)))))*Inputs!$B$148*Inputs!$B$8</f>
        <v>17.7705863790524</v>
      </c>
      <c r="AS30" s="41" t="n">
        <f aca="false">IF((2067-Inputs!$B$51-Inputs!$B$9)&lt;0,0,IF((2067-Inputs!$B$51-Inputs!$B$9)=0,Inputs!$B$155*Inputs!$B$52,IF((2067-Inputs!$B$51-Inputs!$B$9)=1,Inputs!$B$155,IF((2067-Inputs!$B$51-Inputs!$B$9)=2,Inputs!$C$155,Inputs!$D$155*(1+Inputs!$B$159)^INT(((2067-Inputs!$B$51-Inputs!$B$9)-3)/3)))))*Inputs!$B$148*Inputs!$B$8</f>
        <v>19.5476450169576</v>
      </c>
      <c r="AT30" s="41" t="n">
        <f aca="false">IF((2068-Inputs!$B$51-Inputs!$B$9)&lt;0,0,IF((2068-Inputs!$B$51-Inputs!$B$9)=0,Inputs!$B$155*Inputs!$B$52,IF((2068-Inputs!$B$51-Inputs!$B$9)=1,Inputs!$B$155,IF((2068-Inputs!$B$51-Inputs!$B$9)=2,Inputs!$C$155,Inputs!$D$155*(1+Inputs!$B$159)^INT(((2068-Inputs!$B$51-Inputs!$B$9)-3)/3)))))*Inputs!$B$148*Inputs!$B$8</f>
        <v>19.5476450169576</v>
      </c>
      <c r="AU30" s="41" t="n">
        <f aca="false">IF((2069-Inputs!$B$51-Inputs!$B$9)&lt;0,0,IF((2069-Inputs!$B$51-Inputs!$B$9)=0,Inputs!$B$155*Inputs!$B$52,IF((2069-Inputs!$B$51-Inputs!$B$9)=1,Inputs!$B$155,IF((2069-Inputs!$B$51-Inputs!$B$9)=2,Inputs!$C$155,Inputs!$D$155*(1+Inputs!$B$159)^INT(((2069-Inputs!$B$51-Inputs!$B$9)-3)/3)))))*Inputs!$B$148*Inputs!$B$8</f>
        <v>19.5476450169576</v>
      </c>
      <c r="AV30" s="41" t="n">
        <f aca="false">IF((2070-Inputs!$B$51-Inputs!$B$9)&lt;0,0,IF((2070-Inputs!$B$51-Inputs!$B$9)=0,Inputs!$B$155*Inputs!$B$52,IF((2070-Inputs!$B$51-Inputs!$B$9)=1,Inputs!$B$155,IF((2070-Inputs!$B$51-Inputs!$B$9)=2,Inputs!$C$155,Inputs!$D$155*(1+Inputs!$B$159)^INT(((2070-Inputs!$B$51-Inputs!$B$9)-3)/3)))))*Inputs!$B$148*Inputs!$B$8</f>
        <v>21.5024095186534</v>
      </c>
      <c r="AW30" s="41" t="n">
        <f aca="false">IF((2071-Inputs!$B$51-Inputs!$B$9)&lt;0,0,IF((2071-Inputs!$B$51-Inputs!$B$9)=0,Inputs!$B$155*Inputs!$B$52,IF((2071-Inputs!$B$51-Inputs!$B$9)=1,Inputs!$B$155,IF((2071-Inputs!$B$51-Inputs!$B$9)=2,Inputs!$C$155,Inputs!$D$155*(1+Inputs!$B$159)^INT(((2071-Inputs!$B$51-Inputs!$B$9)-3)/3)))))*Inputs!$B$148*Inputs!$B$8</f>
        <v>21.5024095186534</v>
      </c>
      <c r="AX30" s="41" t="n">
        <f aca="false">IF((2072-Inputs!$B$51-Inputs!$B$9)&lt;0,0,IF((2072-Inputs!$B$51-Inputs!$B$9)=0,Inputs!$B$155*Inputs!$B$52,IF((2072-Inputs!$B$51-Inputs!$B$9)=1,Inputs!$B$155,IF((2072-Inputs!$B$51-Inputs!$B$9)=2,Inputs!$C$155,Inputs!$D$155*(1+Inputs!$B$159)^INT(((2072-Inputs!$B$51-Inputs!$B$9)-3)/3)))))*Inputs!$B$148*Inputs!$B$8</f>
        <v>21.5024095186534</v>
      </c>
      <c r="AY30" s="41" t="n">
        <f aca="false">IF((2073-Inputs!$B$51-Inputs!$B$9)&lt;0,0,IF((2073-Inputs!$B$51-Inputs!$B$9)=0,Inputs!$B$155*Inputs!$B$52,IF((2073-Inputs!$B$51-Inputs!$B$9)=1,Inputs!$B$155,IF((2073-Inputs!$B$51-Inputs!$B$9)=2,Inputs!$C$155,Inputs!$D$155*(1+Inputs!$B$159)^INT(((2073-Inputs!$B$51-Inputs!$B$9)-3)/3)))))*Inputs!$B$148*Inputs!$B$8</f>
        <v>23.6526504705187</v>
      </c>
      <c r="AZ30" s="41" t="n">
        <f aca="false">IF((2074-Inputs!$B$51-Inputs!$B$9)&lt;0,0,IF((2074-Inputs!$B$51-Inputs!$B$9)=0,Inputs!$B$155*Inputs!$B$52,IF((2074-Inputs!$B$51-Inputs!$B$9)=1,Inputs!$B$155,IF((2074-Inputs!$B$51-Inputs!$B$9)=2,Inputs!$C$155,Inputs!$D$155*(1+Inputs!$B$159)^INT(((2074-Inputs!$B$51-Inputs!$B$9)-3)/3)))))*Inputs!$B$148*Inputs!$B$8</f>
        <v>23.6526504705187</v>
      </c>
    </row>
    <row r="31" customFormat="false" ht="15" hidden="false" customHeight="true" outlineLevel="0" collapsed="false">
      <c r="A31" s="6" t="s">
        <v>637</v>
      </c>
      <c r="C31" s="44" t="n">
        <f aca="false">SUM(D31:AZ31)</f>
        <v>5463.70647788357</v>
      </c>
      <c r="D31" s="44" t="n">
        <f aca="false">SUM(D25:D30)</f>
        <v>0</v>
      </c>
      <c r="E31" s="44" t="n">
        <f aca="false">SUM(E25:E30)</f>
        <v>0</v>
      </c>
      <c r="F31" s="44" t="n">
        <f aca="false">SUM(F25:F30)</f>
        <v>9.23484163860281</v>
      </c>
      <c r="G31" s="44" t="n">
        <f aca="false">SUM(G25:G30)</f>
        <v>36.9393665544113</v>
      </c>
      <c r="H31" s="44" t="n">
        <f aca="false">SUM(H25:H30)</f>
        <v>48.1937282816604</v>
      </c>
      <c r="I31" s="44" t="n">
        <f aca="false">SUM(I25:I30)</f>
        <v>58.6685059626762</v>
      </c>
      <c r="J31" s="44" t="n">
        <f aca="false">SUM(J25:J30)</f>
        <v>58.6685059626762</v>
      </c>
      <c r="K31" s="44" t="n">
        <f aca="false">SUM(K25:K30)</f>
        <v>58.6685059626762</v>
      </c>
      <c r="L31" s="44" t="n">
        <f aca="false">SUM(L25:L30)</f>
        <v>64.5353565589438</v>
      </c>
      <c r="M31" s="44" t="n">
        <f aca="false">SUM(M25:M30)</f>
        <v>64.5353565589438</v>
      </c>
      <c r="N31" s="44" t="n">
        <f aca="false">SUM(N25:N30)</f>
        <v>64.5353565589438</v>
      </c>
      <c r="O31" s="44" t="n">
        <f aca="false">SUM(O25:O30)</f>
        <v>70.9888922148382</v>
      </c>
      <c r="P31" s="44" t="n">
        <f aca="false">SUM(P25:P30)</f>
        <v>70.9888922148382</v>
      </c>
      <c r="Q31" s="44" t="n">
        <f aca="false">SUM(Q25:Q30)</f>
        <v>70.9888922148382</v>
      </c>
      <c r="R31" s="44" t="n">
        <f aca="false">SUM(R25:R30)</f>
        <v>78.0877814363221</v>
      </c>
      <c r="S31" s="44" t="n">
        <f aca="false">SUM(S25:S30)</f>
        <v>78.0877814363221</v>
      </c>
      <c r="T31" s="44" t="n">
        <f aca="false">SUM(T25:T30)</f>
        <v>78.0877814363221</v>
      </c>
      <c r="U31" s="44" t="n">
        <f aca="false">SUM(U25:U30)</f>
        <v>85.8965595799543</v>
      </c>
      <c r="V31" s="44" t="n">
        <f aca="false">SUM(V25:V30)</f>
        <v>85.8965595799543</v>
      </c>
      <c r="W31" s="44" t="n">
        <f aca="false">SUM(W25:W30)</f>
        <v>85.8965595799543</v>
      </c>
      <c r="X31" s="44" t="n">
        <f aca="false">SUM(X25:X30)</f>
        <v>94.4862155379497</v>
      </c>
      <c r="Y31" s="44" t="n">
        <f aca="false">SUM(Y25:Y30)</f>
        <v>94.4862155379497</v>
      </c>
      <c r="Z31" s="44" t="n">
        <f aca="false">SUM(Z25:Z30)</f>
        <v>94.4862155379497</v>
      </c>
      <c r="AA31" s="44" t="n">
        <f aca="false">SUM(AA25:AA30)</f>
        <v>103.934837091745</v>
      </c>
      <c r="AB31" s="44" t="n">
        <f aca="false">SUM(AB25:AB30)</f>
        <v>103.934837091745</v>
      </c>
      <c r="AC31" s="44" t="n">
        <f aca="false">SUM(AC25:AC30)</f>
        <v>103.934837091745</v>
      </c>
      <c r="AD31" s="44" t="n">
        <f aca="false">SUM(AD25:AD30)</f>
        <v>114.328320800919</v>
      </c>
      <c r="AE31" s="44" t="n">
        <f aca="false">SUM(AE25:AE30)</f>
        <v>114.328320800919</v>
      </c>
      <c r="AF31" s="44" t="n">
        <f aca="false">SUM(AF25:AF30)</f>
        <v>114.328320800919</v>
      </c>
      <c r="AG31" s="44" t="n">
        <f aca="false">SUM(AG25:AG30)</f>
        <v>125.761152881011</v>
      </c>
      <c r="AH31" s="44" t="n">
        <f aca="false">SUM(AH25:AH30)</f>
        <v>125.761152881011</v>
      </c>
      <c r="AI31" s="44" t="n">
        <f aca="false">SUM(AI25:AI30)</f>
        <v>125.761152881011</v>
      </c>
      <c r="AJ31" s="44" t="n">
        <f aca="false">SUM(AJ25:AJ30)</f>
        <v>138.337268169112</v>
      </c>
      <c r="AK31" s="44" t="n">
        <f aca="false">SUM(AK25:AK30)</f>
        <v>138.337268169112</v>
      </c>
      <c r="AL31" s="44" t="n">
        <f aca="false">SUM(AL25:AL30)</f>
        <v>138.337268169112</v>
      </c>
      <c r="AM31" s="44" t="n">
        <f aca="false">SUM(AM25:AM30)</f>
        <v>152.170994986023</v>
      </c>
      <c r="AN31" s="44" t="n">
        <f aca="false">SUM(AN25:AN30)</f>
        <v>152.170994986023</v>
      </c>
      <c r="AO31" s="44" t="n">
        <f aca="false">SUM(AO25:AO30)</f>
        <v>152.170994986023</v>
      </c>
      <c r="AP31" s="44" t="n">
        <f aca="false">SUM(AP25:AP30)</f>
        <v>167.388094484626</v>
      </c>
      <c r="AQ31" s="44" t="n">
        <f aca="false">SUM(AQ25:AQ30)</f>
        <v>167.388094484626</v>
      </c>
      <c r="AR31" s="44" t="n">
        <f aca="false">SUM(AR25:AR30)</f>
        <v>167.388094484626</v>
      </c>
      <c r="AS31" s="44" t="n">
        <f aca="false">SUM(AS25:AS30)</f>
        <v>184.126903933088</v>
      </c>
      <c r="AT31" s="44" t="n">
        <f aca="false">SUM(AT25:AT30)</f>
        <v>184.126903933088</v>
      </c>
      <c r="AU31" s="44" t="n">
        <f aca="false">SUM(AU25:AU30)</f>
        <v>184.126903933088</v>
      </c>
      <c r="AV31" s="44" t="n">
        <f aca="false">SUM(AV25:AV30)</f>
        <v>202.539594326397</v>
      </c>
      <c r="AW31" s="44" t="n">
        <f aca="false">SUM(AW25:AW30)</f>
        <v>202.539594326397</v>
      </c>
      <c r="AX31" s="44" t="n">
        <f aca="false">SUM(AX25:AX30)</f>
        <v>202.539594326397</v>
      </c>
      <c r="AY31" s="44" t="n">
        <f aca="false">SUM(AY25:AY30)</f>
        <v>222.793553759037</v>
      </c>
      <c r="AZ31" s="44" t="n">
        <f aca="false">SUM(AZ25:AZ30)</f>
        <v>222.793553759037</v>
      </c>
    </row>
    <row r="32" customFormat="false" ht="15" hidden="false" customHeight="true" outlineLevel="0" collapsed="false">
      <c r="A32" s="13" t="s">
        <v>572</v>
      </c>
      <c r="B32" s="15" t="s">
        <v>638</v>
      </c>
      <c r="D32" s="50" t="n">
        <f aca="false">IF((2026-Inputs!$B$51-Inputs!$B$9)&lt;0,0,IF((2026-Inputs!$B$51-Inputs!$B$9)=0,0.5,IF((2026-Inputs!$B$51-Inputs!$B$9)=1,0.5,IF((2026-Inputs!$B$51-Inputs!$B$9)=2,0.7,0.92))))</f>
        <v>0</v>
      </c>
      <c r="E32" s="50" t="n">
        <f aca="false">IF((2027-Inputs!$B$51-Inputs!$B$9)&lt;0,0,IF((2027-Inputs!$B$51-Inputs!$B$9)=0,0.5,IF((2027-Inputs!$B$51-Inputs!$B$9)=1,0.5,IF((2027-Inputs!$B$51-Inputs!$B$9)=2,0.7,0.92))))</f>
        <v>0</v>
      </c>
      <c r="F32" s="50" t="n">
        <f aca="false">IF((2028-Inputs!$B$51-Inputs!$B$9)&lt;0,0,IF((2028-Inputs!$B$51-Inputs!$B$9)=0,0.5,IF((2028-Inputs!$B$51-Inputs!$B$9)=1,0.5,IF((2028-Inputs!$B$51-Inputs!$B$9)=2,0.7,0.92))))</f>
        <v>0.5</v>
      </c>
      <c r="G32" s="50" t="n">
        <f aca="false">IF((2029-Inputs!$B$51-Inputs!$B$9)&lt;0,0,IF((2029-Inputs!$B$51-Inputs!$B$9)=0,0.5,IF((2029-Inputs!$B$51-Inputs!$B$9)=1,0.5,IF((2029-Inputs!$B$51-Inputs!$B$9)=2,0.7,0.92))))</f>
        <v>0.5</v>
      </c>
      <c r="H32" s="50" t="n">
        <f aca="false">IF((2030-Inputs!$B$51-Inputs!$B$9)&lt;0,0,IF((2030-Inputs!$B$51-Inputs!$B$9)=0,0.5,IF((2030-Inputs!$B$51-Inputs!$B$9)=1,0.5,IF((2030-Inputs!$B$51-Inputs!$B$9)=2,0.7,0.92))))</f>
        <v>0.7</v>
      </c>
      <c r="I32" s="50" t="n">
        <f aca="false">IF((2031-Inputs!$B$51-Inputs!$B$9)&lt;0,0,IF((2031-Inputs!$B$51-Inputs!$B$9)=0,0.5,IF((2031-Inputs!$B$51-Inputs!$B$9)=1,0.5,IF((2031-Inputs!$B$51-Inputs!$B$9)=2,0.7,0.92))))</f>
        <v>0.92</v>
      </c>
      <c r="J32" s="50" t="n">
        <f aca="false">IF((2032-Inputs!$B$51-Inputs!$B$9)&lt;0,0,IF((2032-Inputs!$B$51-Inputs!$B$9)=0,0.5,IF((2032-Inputs!$B$51-Inputs!$B$9)=1,0.5,IF((2032-Inputs!$B$51-Inputs!$B$9)=2,0.7,0.92))))</f>
        <v>0.92</v>
      </c>
      <c r="K32" s="50" t="n">
        <f aca="false">IF((2033-Inputs!$B$51-Inputs!$B$9)&lt;0,0,IF((2033-Inputs!$B$51-Inputs!$B$9)=0,0.5,IF((2033-Inputs!$B$51-Inputs!$B$9)=1,0.5,IF((2033-Inputs!$B$51-Inputs!$B$9)=2,0.7,0.92))))</f>
        <v>0.92</v>
      </c>
      <c r="L32" s="50" t="n">
        <f aca="false">IF((2034-Inputs!$B$51-Inputs!$B$9)&lt;0,0,IF((2034-Inputs!$B$51-Inputs!$B$9)=0,0.5,IF((2034-Inputs!$B$51-Inputs!$B$9)=1,0.5,IF((2034-Inputs!$B$51-Inputs!$B$9)=2,0.7,0.92))))</f>
        <v>0.92</v>
      </c>
      <c r="M32" s="50" t="n">
        <f aca="false">IF((2035-Inputs!$B$51-Inputs!$B$9)&lt;0,0,IF((2035-Inputs!$B$51-Inputs!$B$9)=0,0.5,IF((2035-Inputs!$B$51-Inputs!$B$9)=1,0.5,IF((2035-Inputs!$B$51-Inputs!$B$9)=2,0.7,0.92))))</f>
        <v>0.92</v>
      </c>
      <c r="N32" s="50" t="n">
        <f aca="false">IF((2036-Inputs!$B$51-Inputs!$B$9)&lt;0,0,IF((2036-Inputs!$B$51-Inputs!$B$9)=0,0.5,IF((2036-Inputs!$B$51-Inputs!$B$9)=1,0.5,IF((2036-Inputs!$B$51-Inputs!$B$9)=2,0.7,0.92))))</f>
        <v>0.92</v>
      </c>
      <c r="O32" s="50" t="n">
        <f aca="false">IF((2037-Inputs!$B$51-Inputs!$B$9)&lt;0,0,IF((2037-Inputs!$B$51-Inputs!$B$9)=0,0.5,IF((2037-Inputs!$B$51-Inputs!$B$9)=1,0.5,IF((2037-Inputs!$B$51-Inputs!$B$9)=2,0.7,0.92))))</f>
        <v>0.92</v>
      </c>
      <c r="P32" s="50" t="n">
        <f aca="false">IF((2038-Inputs!$B$51-Inputs!$B$9)&lt;0,0,IF((2038-Inputs!$B$51-Inputs!$B$9)=0,0.5,IF((2038-Inputs!$B$51-Inputs!$B$9)=1,0.5,IF((2038-Inputs!$B$51-Inputs!$B$9)=2,0.7,0.92))))</f>
        <v>0.92</v>
      </c>
      <c r="Q32" s="50" t="n">
        <f aca="false">IF((2039-Inputs!$B$51-Inputs!$B$9)&lt;0,0,IF((2039-Inputs!$B$51-Inputs!$B$9)=0,0.5,IF((2039-Inputs!$B$51-Inputs!$B$9)=1,0.5,IF((2039-Inputs!$B$51-Inputs!$B$9)=2,0.7,0.92))))</f>
        <v>0.92</v>
      </c>
      <c r="R32" s="50" t="n">
        <f aca="false">IF((2040-Inputs!$B$51-Inputs!$B$9)&lt;0,0,IF((2040-Inputs!$B$51-Inputs!$B$9)=0,0.5,IF((2040-Inputs!$B$51-Inputs!$B$9)=1,0.5,IF((2040-Inputs!$B$51-Inputs!$B$9)=2,0.7,0.92))))</f>
        <v>0.92</v>
      </c>
      <c r="S32" s="50" t="n">
        <f aca="false">IF((2041-Inputs!$B$51-Inputs!$B$9)&lt;0,0,IF((2041-Inputs!$B$51-Inputs!$B$9)=0,0.5,IF((2041-Inputs!$B$51-Inputs!$B$9)=1,0.5,IF((2041-Inputs!$B$51-Inputs!$B$9)=2,0.7,0.92))))</f>
        <v>0.92</v>
      </c>
      <c r="T32" s="50" t="n">
        <f aca="false">IF((2042-Inputs!$B$51-Inputs!$B$9)&lt;0,0,IF((2042-Inputs!$B$51-Inputs!$B$9)=0,0.5,IF((2042-Inputs!$B$51-Inputs!$B$9)=1,0.5,IF((2042-Inputs!$B$51-Inputs!$B$9)=2,0.7,0.92))))</f>
        <v>0.92</v>
      </c>
      <c r="U32" s="50" t="n">
        <f aca="false">IF((2043-Inputs!$B$51-Inputs!$B$9)&lt;0,0,IF((2043-Inputs!$B$51-Inputs!$B$9)=0,0.5,IF((2043-Inputs!$B$51-Inputs!$B$9)=1,0.5,IF((2043-Inputs!$B$51-Inputs!$B$9)=2,0.7,0.92))))</f>
        <v>0.92</v>
      </c>
      <c r="V32" s="50" t="n">
        <f aca="false">IF((2044-Inputs!$B$51-Inputs!$B$9)&lt;0,0,IF((2044-Inputs!$B$51-Inputs!$B$9)=0,0.5,IF((2044-Inputs!$B$51-Inputs!$B$9)=1,0.5,IF((2044-Inputs!$B$51-Inputs!$B$9)=2,0.7,0.92))))</f>
        <v>0.92</v>
      </c>
      <c r="W32" s="50" t="n">
        <f aca="false">IF((2045-Inputs!$B$51-Inputs!$B$9)&lt;0,0,IF((2045-Inputs!$B$51-Inputs!$B$9)=0,0.5,IF((2045-Inputs!$B$51-Inputs!$B$9)=1,0.5,IF((2045-Inputs!$B$51-Inputs!$B$9)=2,0.7,0.92))))</f>
        <v>0.92</v>
      </c>
      <c r="X32" s="50" t="n">
        <f aca="false">IF((2046-Inputs!$B$51-Inputs!$B$9)&lt;0,0,IF((2046-Inputs!$B$51-Inputs!$B$9)=0,0.5,IF((2046-Inputs!$B$51-Inputs!$B$9)=1,0.5,IF((2046-Inputs!$B$51-Inputs!$B$9)=2,0.7,0.92))))</f>
        <v>0.92</v>
      </c>
      <c r="Y32" s="50" t="n">
        <f aca="false">IF((2047-Inputs!$B$51-Inputs!$B$9)&lt;0,0,IF((2047-Inputs!$B$51-Inputs!$B$9)=0,0.5,IF((2047-Inputs!$B$51-Inputs!$B$9)=1,0.5,IF((2047-Inputs!$B$51-Inputs!$B$9)=2,0.7,0.92))))</f>
        <v>0.92</v>
      </c>
      <c r="Z32" s="50" t="n">
        <f aca="false">IF((2048-Inputs!$B$51-Inputs!$B$9)&lt;0,0,IF((2048-Inputs!$B$51-Inputs!$B$9)=0,0.5,IF((2048-Inputs!$B$51-Inputs!$B$9)=1,0.5,IF((2048-Inputs!$B$51-Inputs!$B$9)=2,0.7,0.92))))</f>
        <v>0.92</v>
      </c>
      <c r="AA32" s="50" t="n">
        <f aca="false">IF((2049-Inputs!$B$51-Inputs!$B$9)&lt;0,0,IF((2049-Inputs!$B$51-Inputs!$B$9)=0,0.5,IF((2049-Inputs!$B$51-Inputs!$B$9)=1,0.5,IF((2049-Inputs!$B$51-Inputs!$B$9)=2,0.7,0.92))))</f>
        <v>0.92</v>
      </c>
      <c r="AB32" s="50" t="n">
        <f aca="false">IF((2050-Inputs!$B$51-Inputs!$B$9)&lt;0,0,IF((2050-Inputs!$B$51-Inputs!$B$9)=0,0.5,IF((2050-Inputs!$B$51-Inputs!$B$9)=1,0.5,IF((2050-Inputs!$B$51-Inputs!$B$9)=2,0.7,0.92))))</f>
        <v>0.92</v>
      </c>
      <c r="AC32" s="50" t="n">
        <f aca="false">IF((2051-Inputs!$B$51-Inputs!$B$9)&lt;0,0,IF((2051-Inputs!$B$51-Inputs!$B$9)=0,0.5,IF((2051-Inputs!$B$51-Inputs!$B$9)=1,0.5,IF((2051-Inputs!$B$51-Inputs!$B$9)=2,0.7,0.92))))</f>
        <v>0.92</v>
      </c>
      <c r="AD32" s="50" t="n">
        <f aca="false">IF((2052-Inputs!$B$51-Inputs!$B$9)&lt;0,0,IF((2052-Inputs!$B$51-Inputs!$B$9)=0,0.5,IF((2052-Inputs!$B$51-Inputs!$B$9)=1,0.5,IF((2052-Inputs!$B$51-Inputs!$B$9)=2,0.7,0.92))))</f>
        <v>0.92</v>
      </c>
      <c r="AE32" s="50" t="n">
        <f aca="false">IF((2053-Inputs!$B$51-Inputs!$B$9)&lt;0,0,IF((2053-Inputs!$B$51-Inputs!$B$9)=0,0.5,IF((2053-Inputs!$B$51-Inputs!$B$9)=1,0.5,IF((2053-Inputs!$B$51-Inputs!$B$9)=2,0.7,0.92))))</f>
        <v>0.92</v>
      </c>
      <c r="AF32" s="50" t="n">
        <f aca="false">IF((2054-Inputs!$B$51-Inputs!$B$9)&lt;0,0,IF((2054-Inputs!$B$51-Inputs!$B$9)=0,0.5,IF((2054-Inputs!$B$51-Inputs!$B$9)=1,0.5,IF((2054-Inputs!$B$51-Inputs!$B$9)=2,0.7,0.92))))</f>
        <v>0.92</v>
      </c>
      <c r="AG32" s="50" t="n">
        <f aca="false">IF((2055-Inputs!$B$51-Inputs!$B$9)&lt;0,0,IF((2055-Inputs!$B$51-Inputs!$B$9)=0,0.5,IF((2055-Inputs!$B$51-Inputs!$B$9)=1,0.5,IF((2055-Inputs!$B$51-Inputs!$B$9)=2,0.7,0.92))))</f>
        <v>0.92</v>
      </c>
      <c r="AH32" s="50" t="n">
        <f aca="false">IF((2056-Inputs!$B$51-Inputs!$B$9)&lt;0,0,IF((2056-Inputs!$B$51-Inputs!$B$9)=0,0.5,IF((2056-Inputs!$B$51-Inputs!$B$9)=1,0.5,IF((2056-Inputs!$B$51-Inputs!$B$9)=2,0.7,0.92))))</f>
        <v>0.92</v>
      </c>
      <c r="AI32" s="50" t="n">
        <f aca="false">IF((2057-Inputs!$B$51-Inputs!$B$9)&lt;0,0,IF((2057-Inputs!$B$51-Inputs!$B$9)=0,0.5,IF((2057-Inputs!$B$51-Inputs!$B$9)=1,0.5,IF((2057-Inputs!$B$51-Inputs!$B$9)=2,0.7,0.92))))</f>
        <v>0.92</v>
      </c>
      <c r="AJ32" s="50" t="n">
        <f aca="false">IF((2058-Inputs!$B$51-Inputs!$B$9)&lt;0,0,IF((2058-Inputs!$B$51-Inputs!$B$9)=0,0.5,IF((2058-Inputs!$B$51-Inputs!$B$9)=1,0.5,IF((2058-Inputs!$B$51-Inputs!$B$9)=2,0.7,0.92))))</f>
        <v>0.92</v>
      </c>
      <c r="AK32" s="50" t="n">
        <f aca="false">IF((2059-Inputs!$B$51-Inputs!$B$9)&lt;0,0,IF((2059-Inputs!$B$51-Inputs!$B$9)=0,0.5,IF((2059-Inputs!$B$51-Inputs!$B$9)=1,0.5,IF((2059-Inputs!$B$51-Inputs!$B$9)=2,0.7,0.92))))</f>
        <v>0.92</v>
      </c>
      <c r="AL32" s="50" t="n">
        <f aca="false">IF((2060-Inputs!$B$51-Inputs!$B$9)&lt;0,0,IF((2060-Inputs!$B$51-Inputs!$B$9)=0,0.5,IF((2060-Inputs!$B$51-Inputs!$B$9)=1,0.5,IF((2060-Inputs!$B$51-Inputs!$B$9)=2,0.7,0.92))))</f>
        <v>0.92</v>
      </c>
      <c r="AM32" s="50" t="n">
        <f aca="false">IF((2061-Inputs!$B$51-Inputs!$B$9)&lt;0,0,IF((2061-Inputs!$B$51-Inputs!$B$9)=0,0.5,IF((2061-Inputs!$B$51-Inputs!$B$9)=1,0.5,IF((2061-Inputs!$B$51-Inputs!$B$9)=2,0.7,0.92))))</f>
        <v>0.92</v>
      </c>
      <c r="AN32" s="50" t="n">
        <f aca="false">IF((2062-Inputs!$B$51-Inputs!$B$9)&lt;0,0,IF((2062-Inputs!$B$51-Inputs!$B$9)=0,0.5,IF((2062-Inputs!$B$51-Inputs!$B$9)=1,0.5,IF((2062-Inputs!$B$51-Inputs!$B$9)=2,0.7,0.92))))</f>
        <v>0.92</v>
      </c>
      <c r="AO32" s="50" t="n">
        <f aca="false">IF((2063-Inputs!$B$51-Inputs!$B$9)&lt;0,0,IF((2063-Inputs!$B$51-Inputs!$B$9)=0,0.5,IF((2063-Inputs!$B$51-Inputs!$B$9)=1,0.5,IF((2063-Inputs!$B$51-Inputs!$B$9)=2,0.7,0.92))))</f>
        <v>0.92</v>
      </c>
      <c r="AP32" s="50" t="n">
        <f aca="false">IF((2064-Inputs!$B$51-Inputs!$B$9)&lt;0,0,IF((2064-Inputs!$B$51-Inputs!$B$9)=0,0.5,IF((2064-Inputs!$B$51-Inputs!$B$9)=1,0.5,IF((2064-Inputs!$B$51-Inputs!$B$9)=2,0.7,0.92))))</f>
        <v>0.92</v>
      </c>
      <c r="AQ32" s="50" t="n">
        <f aca="false">IF((2065-Inputs!$B$51-Inputs!$B$9)&lt;0,0,IF((2065-Inputs!$B$51-Inputs!$B$9)=0,0.5,IF((2065-Inputs!$B$51-Inputs!$B$9)=1,0.5,IF((2065-Inputs!$B$51-Inputs!$B$9)=2,0.7,0.92))))</f>
        <v>0.92</v>
      </c>
      <c r="AR32" s="50" t="n">
        <f aca="false">IF((2066-Inputs!$B$51-Inputs!$B$9)&lt;0,0,IF((2066-Inputs!$B$51-Inputs!$B$9)=0,0.5,IF((2066-Inputs!$B$51-Inputs!$B$9)=1,0.5,IF((2066-Inputs!$B$51-Inputs!$B$9)=2,0.7,0.92))))</f>
        <v>0.92</v>
      </c>
      <c r="AS32" s="50" t="n">
        <f aca="false">IF((2067-Inputs!$B$51-Inputs!$B$9)&lt;0,0,IF((2067-Inputs!$B$51-Inputs!$B$9)=0,0.5,IF((2067-Inputs!$B$51-Inputs!$B$9)=1,0.5,IF((2067-Inputs!$B$51-Inputs!$B$9)=2,0.7,0.92))))</f>
        <v>0.92</v>
      </c>
      <c r="AT32" s="50" t="n">
        <f aca="false">IF((2068-Inputs!$B$51-Inputs!$B$9)&lt;0,0,IF((2068-Inputs!$B$51-Inputs!$B$9)=0,0.5,IF((2068-Inputs!$B$51-Inputs!$B$9)=1,0.5,IF((2068-Inputs!$B$51-Inputs!$B$9)=2,0.7,0.92))))</f>
        <v>0.92</v>
      </c>
      <c r="AU32" s="50" t="n">
        <f aca="false">IF((2069-Inputs!$B$51-Inputs!$B$9)&lt;0,0,IF((2069-Inputs!$B$51-Inputs!$B$9)=0,0.5,IF((2069-Inputs!$B$51-Inputs!$B$9)=1,0.5,IF((2069-Inputs!$B$51-Inputs!$B$9)=2,0.7,0.92))))</f>
        <v>0.92</v>
      </c>
      <c r="AV32" s="50" t="n">
        <f aca="false">IF((2070-Inputs!$B$51-Inputs!$B$9)&lt;0,0,IF((2070-Inputs!$B$51-Inputs!$B$9)=0,0.5,IF((2070-Inputs!$B$51-Inputs!$B$9)=1,0.5,IF((2070-Inputs!$B$51-Inputs!$B$9)=2,0.7,0.92))))</f>
        <v>0.92</v>
      </c>
      <c r="AW32" s="50" t="n">
        <f aca="false">IF((2071-Inputs!$B$51-Inputs!$B$9)&lt;0,0,IF((2071-Inputs!$B$51-Inputs!$B$9)=0,0.5,IF((2071-Inputs!$B$51-Inputs!$B$9)=1,0.5,IF((2071-Inputs!$B$51-Inputs!$B$9)=2,0.7,0.92))))</f>
        <v>0.92</v>
      </c>
      <c r="AX32" s="50" t="n">
        <f aca="false">IF((2072-Inputs!$B$51-Inputs!$B$9)&lt;0,0,IF((2072-Inputs!$B$51-Inputs!$B$9)=0,0.5,IF((2072-Inputs!$B$51-Inputs!$B$9)=1,0.5,IF((2072-Inputs!$B$51-Inputs!$B$9)=2,0.7,0.92))))</f>
        <v>0.92</v>
      </c>
      <c r="AY32" s="50" t="n">
        <f aca="false">IF((2073-Inputs!$B$51-Inputs!$B$9)&lt;0,0,IF((2073-Inputs!$B$51-Inputs!$B$9)=0,0.5,IF((2073-Inputs!$B$51-Inputs!$B$9)=1,0.5,IF((2073-Inputs!$B$51-Inputs!$B$9)=2,0.7,0.92))))</f>
        <v>0.92</v>
      </c>
      <c r="AZ32" s="50" t="n">
        <f aca="false">IF((2074-Inputs!$B$51-Inputs!$B$9)&lt;0,0,IF((2074-Inputs!$B$51-Inputs!$B$9)=0,0.5,IF((2074-Inputs!$B$51-Inputs!$B$9)=1,0.5,IF((2074-Inputs!$B$51-Inputs!$B$9)=2,0.7,0.92))))</f>
        <v>0.92</v>
      </c>
    </row>
    <row r="33" customFormat="false" ht="15" hidden="false" customHeight="true" outlineLevel="0" collapsed="false">
      <c r="A33" s="13" t="s">
        <v>573</v>
      </c>
      <c r="D33" s="19" t="n">
        <f aca="false">IF(D32&gt;0,D31*1000000/Inputs!$B$199/IF((2026-Inputs!$B$51-Inputs!$B$9)=0,Inputs!$B$52,1),0)</f>
        <v>0</v>
      </c>
      <c r="E33" s="19" t="n">
        <f aca="false">IF(E32&gt;0,E31*1000000/Inputs!$B$199/IF((2027-Inputs!$B$51-Inputs!$B$9)=0,Inputs!$B$52,1),0)</f>
        <v>0</v>
      </c>
      <c r="F33" s="19" t="n">
        <f aca="false">IF(F32&gt;0,F31*1000000/Inputs!$B$199/IF((2028-Inputs!$B$51-Inputs!$B$9)=0,Inputs!$B$52,1),0)</f>
        <v>957.052790486599</v>
      </c>
      <c r="G33" s="19" t="n">
        <f aca="false">IF(G32&gt;0,G31*1000000/Inputs!$B$199/IF((2029-Inputs!$B$51-Inputs!$B$9)=0,Inputs!$B$52,1),0)</f>
        <v>957.052790486599</v>
      </c>
      <c r="H33" s="19" t="n">
        <f aca="false">IF(H32&gt;0,H31*1000000/Inputs!$B$199/IF((2030-Inputs!$B$51-Inputs!$B$9)=0,Inputs!$B$52,1),0)</f>
        <v>1248.63922796229</v>
      </c>
      <c r="I33" s="19" t="n">
        <f aca="false">IF(I32&gt;0,I31*1000000/Inputs!$B$199/IF((2031-Inputs!$B$51-Inputs!$B$9)=0,Inputs!$B$52,1),0)</f>
        <v>1520.02761775983</v>
      </c>
      <c r="J33" s="19" t="n">
        <f aca="false">IF(J32&gt;0,J31*1000000/Inputs!$B$199/IF((2032-Inputs!$B$51-Inputs!$B$9)=0,Inputs!$B$52,1),0)</f>
        <v>1520.02761775983</v>
      </c>
      <c r="K33" s="19" t="n">
        <f aca="false">IF(K32&gt;0,K31*1000000/Inputs!$B$199/IF((2033-Inputs!$B$51-Inputs!$B$9)=0,Inputs!$B$52,1),0)</f>
        <v>1520.02761775983</v>
      </c>
      <c r="L33" s="19" t="n">
        <f aca="false">IF(L32&gt;0,L31*1000000/Inputs!$B$199/IF((2034-Inputs!$B$51-Inputs!$B$9)=0,Inputs!$B$52,1),0)</f>
        <v>1672.03037953581</v>
      </c>
      <c r="M33" s="19" t="n">
        <f aca="false">IF(M32&gt;0,M31*1000000/Inputs!$B$199/IF((2035-Inputs!$B$51-Inputs!$B$9)=0,Inputs!$B$52,1),0)</f>
        <v>1672.03037953581</v>
      </c>
      <c r="N33" s="19" t="n">
        <f aca="false">IF(N32&gt;0,N31*1000000/Inputs!$B$199/IF((2036-Inputs!$B$51-Inputs!$B$9)=0,Inputs!$B$52,1),0)</f>
        <v>1672.03037953581</v>
      </c>
      <c r="O33" s="19" t="n">
        <f aca="false">IF(O32&gt;0,O31*1000000/Inputs!$B$199/IF((2037-Inputs!$B$51-Inputs!$B$9)=0,Inputs!$B$52,1),0)</f>
        <v>1839.2334174894</v>
      </c>
      <c r="P33" s="19" t="n">
        <f aca="false">IF(P32&gt;0,P31*1000000/Inputs!$B$199/IF((2038-Inputs!$B$51-Inputs!$B$9)=0,Inputs!$B$52,1),0)</f>
        <v>1839.2334174894</v>
      </c>
      <c r="Q33" s="19" t="n">
        <f aca="false">IF(Q32&gt;0,Q31*1000000/Inputs!$B$199/IF((2039-Inputs!$B$51-Inputs!$B$9)=0,Inputs!$B$52,1),0)</f>
        <v>1839.2334174894</v>
      </c>
      <c r="R33" s="19" t="n">
        <f aca="false">IF(R32&gt;0,R31*1000000/Inputs!$B$199/IF((2040-Inputs!$B$51-Inputs!$B$9)=0,Inputs!$B$52,1),0)</f>
        <v>2023.15675923834</v>
      </c>
      <c r="S33" s="19" t="n">
        <f aca="false">IF(S32&gt;0,S31*1000000/Inputs!$B$199/IF((2041-Inputs!$B$51-Inputs!$B$9)=0,Inputs!$B$52,1),0)</f>
        <v>2023.15675923834</v>
      </c>
      <c r="T33" s="19" t="n">
        <f aca="false">IF(T32&gt;0,T31*1000000/Inputs!$B$199/IF((2042-Inputs!$B$51-Inputs!$B$9)=0,Inputs!$B$52,1),0)</f>
        <v>2023.15675923834</v>
      </c>
      <c r="U33" s="19" t="n">
        <f aca="false">IF(U32&gt;0,U31*1000000/Inputs!$B$199/IF((2043-Inputs!$B$51-Inputs!$B$9)=0,Inputs!$B$52,1),0)</f>
        <v>2225.47243516217</v>
      </c>
      <c r="V33" s="19" t="n">
        <f aca="false">IF(V32&gt;0,V31*1000000/Inputs!$B$199/IF((2044-Inputs!$B$51-Inputs!$B$9)=0,Inputs!$B$52,1),0)</f>
        <v>2225.47243516217</v>
      </c>
      <c r="W33" s="19" t="n">
        <f aca="false">IF(W32&gt;0,W31*1000000/Inputs!$B$199/IF((2045-Inputs!$B$51-Inputs!$B$9)=0,Inputs!$B$52,1),0)</f>
        <v>2225.47243516217</v>
      </c>
      <c r="X33" s="19" t="n">
        <f aca="false">IF(X32&gt;0,X31*1000000/Inputs!$B$199/IF((2046-Inputs!$B$51-Inputs!$B$9)=0,Inputs!$B$52,1),0)</f>
        <v>2448.01967867839</v>
      </c>
      <c r="Y33" s="19" t="n">
        <f aca="false">IF(Y32&gt;0,Y31*1000000/Inputs!$B$199/IF((2047-Inputs!$B$51-Inputs!$B$9)=0,Inputs!$B$52,1),0)</f>
        <v>2448.01967867839</v>
      </c>
      <c r="Z33" s="19" t="n">
        <f aca="false">IF(Z32&gt;0,Z31*1000000/Inputs!$B$199/IF((2048-Inputs!$B$51-Inputs!$B$9)=0,Inputs!$B$52,1),0)</f>
        <v>2448.01967867839</v>
      </c>
      <c r="AA33" s="19" t="n">
        <f aca="false">IF(AA32&gt;0,AA31*1000000/Inputs!$B$199/IF((2049-Inputs!$B$51-Inputs!$B$9)=0,Inputs!$B$52,1),0)</f>
        <v>2692.82164654623</v>
      </c>
      <c r="AB33" s="19" t="n">
        <f aca="false">IF(AB32&gt;0,AB31*1000000/Inputs!$B$199/IF((2050-Inputs!$B$51-Inputs!$B$9)=0,Inputs!$B$52,1),0)</f>
        <v>2692.82164654623</v>
      </c>
      <c r="AC33" s="19" t="n">
        <f aca="false">IF(AC32&gt;0,AC31*1000000/Inputs!$B$199/IF((2051-Inputs!$B$51-Inputs!$B$9)=0,Inputs!$B$52,1),0)</f>
        <v>2692.82164654623</v>
      </c>
      <c r="AD33" s="19" t="n">
        <f aca="false">IF(AD32&gt;0,AD31*1000000/Inputs!$B$199/IF((2052-Inputs!$B$51-Inputs!$B$9)=0,Inputs!$B$52,1),0)</f>
        <v>2962.10381120085</v>
      </c>
      <c r="AE33" s="19" t="n">
        <f aca="false">IF(AE32&gt;0,AE31*1000000/Inputs!$B$199/IF((2053-Inputs!$B$51-Inputs!$B$9)=0,Inputs!$B$52,1),0)</f>
        <v>2962.10381120085</v>
      </c>
      <c r="AF33" s="19" t="n">
        <f aca="false">IF(AF32&gt;0,AF31*1000000/Inputs!$B$199/IF((2054-Inputs!$B$51-Inputs!$B$9)=0,Inputs!$B$52,1),0)</f>
        <v>2962.10381120085</v>
      </c>
      <c r="AG33" s="19" t="n">
        <f aca="false">IF(AG32&gt;0,AG31*1000000/Inputs!$B$199/IF((2055-Inputs!$B$51-Inputs!$B$9)=0,Inputs!$B$52,1),0)</f>
        <v>3258.31419232093</v>
      </c>
      <c r="AH33" s="19" t="n">
        <f aca="false">IF(AH32&gt;0,AH31*1000000/Inputs!$B$199/IF((2056-Inputs!$B$51-Inputs!$B$9)=0,Inputs!$B$52,1),0)</f>
        <v>3258.31419232093</v>
      </c>
      <c r="AI33" s="19" t="n">
        <f aca="false">IF(AI32&gt;0,AI31*1000000/Inputs!$B$199/IF((2057-Inputs!$B$51-Inputs!$B$9)=0,Inputs!$B$52,1),0)</f>
        <v>3258.31419232093</v>
      </c>
      <c r="AJ33" s="19" t="n">
        <f aca="false">IF(AJ32&gt;0,AJ31*1000000/Inputs!$B$199/IF((2058-Inputs!$B$51-Inputs!$B$9)=0,Inputs!$B$52,1),0)</f>
        <v>3584.14561155303</v>
      </c>
      <c r="AK33" s="19" t="n">
        <f aca="false">IF(AK32&gt;0,AK31*1000000/Inputs!$B$199/IF((2059-Inputs!$B$51-Inputs!$B$9)=0,Inputs!$B$52,1),0)</f>
        <v>3584.14561155303</v>
      </c>
      <c r="AL33" s="19" t="n">
        <f aca="false">IF(AL32&gt;0,AL31*1000000/Inputs!$B$199/IF((2060-Inputs!$B$51-Inputs!$B$9)=0,Inputs!$B$52,1),0)</f>
        <v>3584.14561155303</v>
      </c>
      <c r="AM33" s="19" t="n">
        <f aca="false">IF(AM32&gt;0,AM31*1000000/Inputs!$B$199/IF((2061-Inputs!$B$51-Inputs!$B$9)=0,Inputs!$B$52,1),0)</f>
        <v>3942.56017270833</v>
      </c>
      <c r="AN33" s="19" t="n">
        <f aca="false">IF(AN32&gt;0,AN31*1000000/Inputs!$B$199/IF((2062-Inputs!$B$51-Inputs!$B$9)=0,Inputs!$B$52,1),0)</f>
        <v>3942.56017270833</v>
      </c>
      <c r="AO33" s="19" t="n">
        <f aca="false">IF(AO32&gt;0,AO31*1000000/Inputs!$B$199/IF((2063-Inputs!$B$51-Inputs!$B$9)=0,Inputs!$B$52,1),0)</f>
        <v>3942.56017270833</v>
      </c>
      <c r="AP33" s="19" t="n">
        <f aca="false">IF(AP32&gt;0,AP31*1000000/Inputs!$B$199/IF((2064-Inputs!$B$51-Inputs!$B$9)=0,Inputs!$B$52,1),0)</f>
        <v>4336.81618997916</v>
      </c>
      <c r="AQ33" s="19" t="n">
        <f aca="false">IF(AQ32&gt;0,AQ31*1000000/Inputs!$B$199/IF((2065-Inputs!$B$51-Inputs!$B$9)=0,Inputs!$B$52,1),0)</f>
        <v>4336.81618997916</v>
      </c>
      <c r="AR33" s="19" t="n">
        <f aca="false">IF(AR32&gt;0,AR31*1000000/Inputs!$B$199/IF((2066-Inputs!$B$51-Inputs!$B$9)=0,Inputs!$B$52,1),0)</f>
        <v>4336.81618997916</v>
      </c>
      <c r="AS33" s="19" t="n">
        <f aca="false">IF(AS32&gt;0,AS31*1000000/Inputs!$B$199/IF((2067-Inputs!$B$51-Inputs!$B$9)=0,Inputs!$B$52,1),0)</f>
        <v>4770.49780897708</v>
      </c>
      <c r="AT33" s="19" t="n">
        <f aca="false">IF(AT32&gt;0,AT31*1000000/Inputs!$B$199/IF((2068-Inputs!$B$51-Inputs!$B$9)=0,Inputs!$B$52,1),0)</f>
        <v>4770.49780897708</v>
      </c>
      <c r="AU33" s="19" t="n">
        <f aca="false">IF(AU32&gt;0,AU31*1000000/Inputs!$B$199/IF((2069-Inputs!$B$51-Inputs!$B$9)=0,Inputs!$B$52,1),0)</f>
        <v>4770.49780897708</v>
      </c>
      <c r="AV33" s="19" t="n">
        <f aca="false">IF(AV32&gt;0,AV31*1000000/Inputs!$B$199/IF((2070-Inputs!$B$51-Inputs!$B$9)=0,Inputs!$B$52,1),0)</f>
        <v>5247.54758987479</v>
      </c>
      <c r="AW33" s="19" t="n">
        <f aca="false">IF(AW32&gt;0,AW31*1000000/Inputs!$B$199/IF((2071-Inputs!$B$51-Inputs!$B$9)=0,Inputs!$B$52,1),0)</f>
        <v>5247.54758987479</v>
      </c>
      <c r="AX33" s="19" t="n">
        <f aca="false">IF(AX32&gt;0,AX31*1000000/Inputs!$B$199/IF((2072-Inputs!$B$51-Inputs!$B$9)=0,Inputs!$B$52,1),0)</f>
        <v>5247.54758987479</v>
      </c>
      <c r="AY33" s="19" t="n">
        <f aca="false">IF(AY32&gt;0,AY31*1000000/Inputs!$B$199/IF((2073-Inputs!$B$51-Inputs!$B$9)=0,Inputs!$B$52,1),0)</f>
        <v>5772.30234886227</v>
      </c>
      <c r="AZ33" s="19" t="n">
        <f aca="false">IF(AZ32&gt;0,AZ31*1000000/Inputs!$B$199/IF((2074-Inputs!$B$51-Inputs!$B$9)=0,Inputs!$B$52,1),0)</f>
        <v>5772.30234886227</v>
      </c>
    </row>
    <row r="34" customFormat="false" ht="15" hidden="false" customHeight="true" outlineLevel="0" collapsed="false">
      <c r="A34" s="13" t="s">
        <v>639</v>
      </c>
      <c r="D34" s="19" t="n">
        <f aca="false">IF(D32&gt;0,D31*1000000/(Inputs!$B$199*D32)/IF((2026-Inputs!$B$51-Inputs!$B$9)=0,Inputs!$B$52,1),0)</f>
        <v>0</v>
      </c>
      <c r="E34" s="19" t="n">
        <f aca="false">IF(E32&gt;0,E31*1000000/(Inputs!$B$199*E32)/IF((2027-Inputs!$B$51-Inputs!$B$9)=0,Inputs!$B$52,1),0)</f>
        <v>0</v>
      </c>
      <c r="F34" s="19" t="n">
        <f aca="false">IF(F32&gt;0,F31*1000000/(Inputs!$B$199*F32)/IF((2028-Inputs!$B$51-Inputs!$B$9)=0,Inputs!$B$52,1),0)</f>
        <v>1914.1055809732</v>
      </c>
      <c r="G34" s="19" t="n">
        <f aca="false">IF(G32&gt;0,G31*1000000/(Inputs!$B$199*G32)/IF((2029-Inputs!$B$51-Inputs!$B$9)=0,Inputs!$B$52,1),0)</f>
        <v>1914.1055809732</v>
      </c>
      <c r="H34" s="19" t="n">
        <f aca="false">IF(H32&gt;0,H31*1000000/(Inputs!$B$199*H32)/IF((2030-Inputs!$B$51-Inputs!$B$9)=0,Inputs!$B$52,1),0)</f>
        <v>1783.77032566041</v>
      </c>
      <c r="I34" s="19" t="n">
        <f aca="false">IF(I32&gt;0,I31*1000000/(Inputs!$B$199*I32)/IF((2031-Inputs!$B$51-Inputs!$B$9)=0,Inputs!$B$52,1),0)</f>
        <v>1652.20393234764</v>
      </c>
      <c r="J34" s="19" t="n">
        <f aca="false">IF(J32&gt;0,J31*1000000/(Inputs!$B$199*J32)/IF((2032-Inputs!$B$51-Inputs!$B$9)=0,Inputs!$B$52,1),0)</f>
        <v>1652.20393234764</v>
      </c>
      <c r="K34" s="19" t="n">
        <f aca="false">IF(K32&gt;0,K31*1000000/(Inputs!$B$199*K32)/IF((2033-Inputs!$B$51-Inputs!$B$9)=0,Inputs!$B$52,1),0)</f>
        <v>1652.20393234764</v>
      </c>
      <c r="L34" s="19" t="n">
        <f aca="false">IF(L32&gt;0,L31*1000000/(Inputs!$B$199*L32)/IF((2034-Inputs!$B$51-Inputs!$B$9)=0,Inputs!$B$52,1),0)</f>
        <v>1817.42432558241</v>
      </c>
      <c r="M34" s="19" t="n">
        <f aca="false">IF(M32&gt;0,M31*1000000/(Inputs!$B$199*M32)/IF((2035-Inputs!$B$51-Inputs!$B$9)=0,Inputs!$B$52,1),0)</f>
        <v>1817.42432558241</v>
      </c>
      <c r="N34" s="19" t="n">
        <f aca="false">IF(N32&gt;0,N31*1000000/(Inputs!$B$199*N32)/IF((2036-Inputs!$B$51-Inputs!$B$9)=0,Inputs!$B$52,1),0)</f>
        <v>1817.42432558241</v>
      </c>
      <c r="O34" s="19" t="n">
        <f aca="false">IF(O32&gt;0,O31*1000000/(Inputs!$B$199*O32)/IF((2037-Inputs!$B$51-Inputs!$B$9)=0,Inputs!$B$52,1),0)</f>
        <v>1999.16675814065</v>
      </c>
      <c r="P34" s="19" t="n">
        <f aca="false">IF(P32&gt;0,P31*1000000/(Inputs!$B$199*P32)/IF((2038-Inputs!$B$51-Inputs!$B$9)=0,Inputs!$B$52,1),0)</f>
        <v>1999.16675814065</v>
      </c>
      <c r="Q34" s="19" t="n">
        <f aca="false">IF(Q32&gt;0,Q31*1000000/(Inputs!$B$199*Q32)/IF((2039-Inputs!$B$51-Inputs!$B$9)=0,Inputs!$B$52,1),0)</f>
        <v>1999.16675814065</v>
      </c>
      <c r="R34" s="19" t="n">
        <f aca="false">IF(R32&gt;0,R31*1000000/(Inputs!$B$199*R32)/IF((2040-Inputs!$B$51-Inputs!$B$9)=0,Inputs!$B$52,1),0)</f>
        <v>2199.08343395471</v>
      </c>
      <c r="S34" s="19" t="n">
        <f aca="false">IF(S32&gt;0,S31*1000000/(Inputs!$B$199*S32)/IF((2041-Inputs!$B$51-Inputs!$B$9)=0,Inputs!$B$52,1),0)</f>
        <v>2199.08343395471</v>
      </c>
      <c r="T34" s="19" t="n">
        <f aca="false">IF(T32&gt;0,T31*1000000/(Inputs!$B$199*T32)/IF((2042-Inputs!$B$51-Inputs!$B$9)=0,Inputs!$B$52,1),0)</f>
        <v>2199.08343395471</v>
      </c>
      <c r="U34" s="19" t="n">
        <f aca="false">IF(U32&gt;0,U31*1000000/(Inputs!$B$199*U32)/IF((2043-Inputs!$B$51-Inputs!$B$9)=0,Inputs!$B$52,1),0)</f>
        <v>2418.99177735018</v>
      </c>
      <c r="V34" s="19" t="n">
        <f aca="false">IF(V32&gt;0,V31*1000000/(Inputs!$B$199*V32)/IF((2044-Inputs!$B$51-Inputs!$B$9)=0,Inputs!$B$52,1),0)</f>
        <v>2418.99177735018</v>
      </c>
      <c r="W34" s="19" t="n">
        <f aca="false">IF(W32&gt;0,W31*1000000/(Inputs!$B$199*W32)/IF((2045-Inputs!$B$51-Inputs!$B$9)=0,Inputs!$B$52,1),0)</f>
        <v>2418.99177735018</v>
      </c>
      <c r="X34" s="19" t="n">
        <f aca="false">IF(X32&gt;0,X31*1000000/(Inputs!$B$199*X32)/IF((2046-Inputs!$B$51-Inputs!$B$9)=0,Inputs!$B$52,1),0)</f>
        <v>2660.8909550852</v>
      </c>
      <c r="Y34" s="19" t="n">
        <f aca="false">IF(Y32&gt;0,Y31*1000000/(Inputs!$B$199*Y32)/IF((2047-Inputs!$B$51-Inputs!$B$9)=0,Inputs!$B$52,1),0)</f>
        <v>2660.8909550852</v>
      </c>
      <c r="Z34" s="19" t="n">
        <f aca="false">IF(Z32&gt;0,Z31*1000000/(Inputs!$B$199*Z32)/IF((2048-Inputs!$B$51-Inputs!$B$9)=0,Inputs!$B$52,1),0)</f>
        <v>2660.8909550852</v>
      </c>
      <c r="AA34" s="19" t="n">
        <f aca="false">IF(AA32&gt;0,AA31*1000000/(Inputs!$B$199*AA32)/IF((2049-Inputs!$B$51-Inputs!$B$9)=0,Inputs!$B$52,1),0)</f>
        <v>2926.98005059372</v>
      </c>
      <c r="AB34" s="19" t="n">
        <f aca="false">IF(AB32&gt;0,AB31*1000000/(Inputs!$B$199*AB32)/IF((2050-Inputs!$B$51-Inputs!$B$9)=0,Inputs!$B$52,1),0)</f>
        <v>2926.98005059372</v>
      </c>
      <c r="AC34" s="19" t="n">
        <f aca="false">IF(AC32&gt;0,AC31*1000000/(Inputs!$B$199*AC32)/IF((2051-Inputs!$B$51-Inputs!$B$9)=0,Inputs!$B$52,1),0)</f>
        <v>2926.98005059372</v>
      </c>
      <c r="AD34" s="19" t="n">
        <f aca="false">IF(AD32&gt;0,AD31*1000000/(Inputs!$B$199*AD32)/IF((2052-Inputs!$B$51-Inputs!$B$9)=0,Inputs!$B$52,1),0)</f>
        <v>3219.6780556531</v>
      </c>
      <c r="AE34" s="19" t="n">
        <f aca="false">IF(AE32&gt;0,AE31*1000000/(Inputs!$B$199*AE32)/IF((2053-Inputs!$B$51-Inputs!$B$9)=0,Inputs!$B$52,1),0)</f>
        <v>3219.6780556531</v>
      </c>
      <c r="AF34" s="19" t="n">
        <f aca="false">IF(AF32&gt;0,AF31*1000000/(Inputs!$B$199*AF32)/IF((2054-Inputs!$B$51-Inputs!$B$9)=0,Inputs!$B$52,1),0)</f>
        <v>3219.6780556531</v>
      </c>
      <c r="AG34" s="19" t="n">
        <f aca="false">IF(AG32&gt;0,AG31*1000000/(Inputs!$B$199*AG32)/IF((2055-Inputs!$B$51-Inputs!$B$9)=0,Inputs!$B$52,1),0)</f>
        <v>3541.64586121841</v>
      </c>
      <c r="AH34" s="19" t="n">
        <f aca="false">IF(AH32&gt;0,AH31*1000000/(Inputs!$B$199*AH32)/IF((2056-Inputs!$B$51-Inputs!$B$9)=0,Inputs!$B$52,1),0)</f>
        <v>3541.64586121841</v>
      </c>
      <c r="AI34" s="19" t="n">
        <f aca="false">IF(AI32&gt;0,AI31*1000000/(Inputs!$B$199*AI32)/IF((2057-Inputs!$B$51-Inputs!$B$9)=0,Inputs!$B$52,1),0)</f>
        <v>3541.64586121841</v>
      </c>
      <c r="AJ34" s="19" t="n">
        <f aca="false">IF(AJ32&gt;0,AJ31*1000000/(Inputs!$B$199*AJ32)/IF((2058-Inputs!$B$51-Inputs!$B$9)=0,Inputs!$B$52,1),0)</f>
        <v>3895.81044734025</v>
      </c>
      <c r="AK34" s="19" t="n">
        <f aca="false">IF(AK32&gt;0,AK31*1000000/(Inputs!$B$199*AK32)/IF((2059-Inputs!$B$51-Inputs!$B$9)=0,Inputs!$B$52,1),0)</f>
        <v>3895.81044734025</v>
      </c>
      <c r="AL34" s="19" t="n">
        <f aca="false">IF(AL32&gt;0,AL31*1000000/(Inputs!$B$199*AL32)/IF((2060-Inputs!$B$51-Inputs!$B$9)=0,Inputs!$B$52,1),0)</f>
        <v>3895.81044734025</v>
      </c>
      <c r="AM34" s="19" t="n">
        <f aca="false">IF(AM32&gt;0,AM31*1000000/(Inputs!$B$199*AM32)/IF((2061-Inputs!$B$51-Inputs!$B$9)=0,Inputs!$B$52,1),0)</f>
        <v>4285.39149207427</v>
      </c>
      <c r="AN34" s="19" t="n">
        <f aca="false">IF(AN32&gt;0,AN31*1000000/(Inputs!$B$199*AN32)/IF((2062-Inputs!$B$51-Inputs!$B$9)=0,Inputs!$B$52,1),0)</f>
        <v>4285.39149207427</v>
      </c>
      <c r="AO34" s="19" t="n">
        <f aca="false">IF(AO32&gt;0,AO31*1000000/(Inputs!$B$199*AO32)/IF((2063-Inputs!$B$51-Inputs!$B$9)=0,Inputs!$B$52,1),0)</f>
        <v>4285.39149207427</v>
      </c>
      <c r="AP34" s="19" t="n">
        <f aca="false">IF(AP32&gt;0,AP31*1000000/(Inputs!$B$199*AP32)/IF((2064-Inputs!$B$51-Inputs!$B$9)=0,Inputs!$B$52,1),0)</f>
        <v>4713.9306412817</v>
      </c>
      <c r="AQ34" s="19" t="n">
        <f aca="false">IF(AQ32&gt;0,AQ31*1000000/(Inputs!$B$199*AQ32)/IF((2065-Inputs!$B$51-Inputs!$B$9)=0,Inputs!$B$52,1),0)</f>
        <v>4713.9306412817</v>
      </c>
      <c r="AR34" s="19" t="n">
        <f aca="false">IF(AR32&gt;0,AR31*1000000/(Inputs!$B$199*AR32)/IF((2066-Inputs!$B$51-Inputs!$B$9)=0,Inputs!$B$52,1),0)</f>
        <v>4713.9306412817</v>
      </c>
      <c r="AS34" s="19" t="n">
        <f aca="false">IF(AS32&gt;0,AS31*1000000/(Inputs!$B$199*AS32)/IF((2067-Inputs!$B$51-Inputs!$B$9)=0,Inputs!$B$52,1),0)</f>
        <v>5185.32370540987</v>
      </c>
      <c r="AT34" s="19" t="n">
        <f aca="false">IF(AT32&gt;0,AT31*1000000/(Inputs!$B$199*AT32)/IF((2068-Inputs!$B$51-Inputs!$B$9)=0,Inputs!$B$52,1),0)</f>
        <v>5185.32370540987</v>
      </c>
      <c r="AU34" s="19" t="n">
        <f aca="false">IF(AU32&gt;0,AU31*1000000/(Inputs!$B$199*AU32)/IF((2069-Inputs!$B$51-Inputs!$B$9)=0,Inputs!$B$52,1),0)</f>
        <v>5185.32370540987</v>
      </c>
      <c r="AV34" s="19" t="n">
        <f aca="false">IF(AV32&gt;0,AV31*1000000/(Inputs!$B$199*AV32)/IF((2070-Inputs!$B$51-Inputs!$B$9)=0,Inputs!$B$52,1),0)</f>
        <v>5703.85607595086</v>
      </c>
      <c r="AW34" s="19" t="n">
        <f aca="false">IF(AW32&gt;0,AW31*1000000/(Inputs!$B$199*AW32)/IF((2071-Inputs!$B$51-Inputs!$B$9)=0,Inputs!$B$52,1),0)</f>
        <v>5703.85607595086</v>
      </c>
      <c r="AX34" s="19" t="n">
        <f aca="false">IF(AX32&gt;0,AX31*1000000/(Inputs!$B$199*AX32)/IF((2072-Inputs!$B$51-Inputs!$B$9)=0,Inputs!$B$52,1),0)</f>
        <v>5703.85607595086</v>
      </c>
      <c r="AY34" s="19" t="n">
        <f aca="false">IF(AY32&gt;0,AY31*1000000/(Inputs!$B$199*AY32)/IF((2073-Inputs!$B$51-Inputs!$B$9)=0,Inputs!$B$52,1),0)</f>
        <v>6274.24168354594</v>
      </c>
      <c r="AZ34" s="19" t="n">
        <f aca="false">IF(AZ32&gt;0,AZ31*1000000/(Inputs!$B$199*AZ32)/IF((2074-Inputs!$B$51-Inputs!$B$9)=0,Inputs!$B$52,1),0)</f>
        <v>6274.24168354594</v>
      </c>
    </row>
    <row r="35" customFormat="false" ht="15" hidden="false" customHeight="true" outlineLevel="0" collapsed="false">
      <c r="A35" s="13" t="s">
        <v>421</v>
      </c>
      <c r="C35" s="41" t="n">
        <f aca="false">SUM(D35:AZ35)</f>
        <v>-824.905841331641</v>
      </c>
      <c r="D35" s="41" t="n">
        <f aca="false">-IF((2026-Inputs!$B$51-Inputs!$B$9)&lt;0,0,IF((2026-Inputs!$B$51-Inputs!$B$9)=0,Inputs!$B$165,1)*Inputs!$B$160*(1+Inputs!$B$166)^(2026-2029-Inputs!$B$9))</f>
        <v>-0</v>
      </c>
      <c r="E35" s="41" t="n">
        <f aca="false">-IF((2027-Inputs!$B$51-Inputs!$B$9)&lt;0,0,IF((2027-Inputs!$B$51-Inputs!$B$9)=0,Inputs!$B$165,1)*Inputs!$B$160*(1+Inputs!$B$166)^(2027-2029-Inputs!$B$9))</f>
        <v>-0</v>
      </c>
      <c r="F35" s="41" t="n">
        <f aca="false">-IF((2028-Inputs!$B$51-Inputs!$B$9)&lt;0,0,IF((2028-Inputs!$B$51-Inputs!$B$9)=0,Inputs!$B$165,1)*Inputs!$B$160*(1+Inputs!$B$166)^(2028-2029-Inputs!$B$9))</f>
        <v>-4.73170731707317</v>
      </c>
      <c r="G35" s="41" t="n">
        <f aca="false">-IF((2029-Inputs!$B$51-Inputs!$B$9)&lt;0,0,IF((2029-Inputs!$B$51-Inputs!$B$9)=0,Inputs!$B$165,1)*Inputs!$B$160*(1+Inputs!$B$166)^(2029-2029-Inputs!$B$9))</f>
        <v>-9.7</v>
      </c>
      <c r="H35" s="41" t="n">
        <f aca="false">-IF((2030-Inputs!$B$51-Inputs!$B$9)&lt;0,0,IF((2030-Inputs!$B$51-Inputs!$B$9)=0,Inputs!$B$165,1)*Inputs!$B$160*(1+Inputs!$B$166)^(2030-2029-Inputs!$B$9))</f>
        <v>-9.9425</v>
      </c>
      <c r="I35" s="41" t="n">
        <f aca="false">-IF((2031-Inputs!$B$51-Inputs!$B$9)&lt;0,0,IF((2031-Inputs!$B$51-Inputs!$B$9)=0,Inputs!$B$165,1)*Inputs!$B$160*(1+Inputs!$B$166)^(2031-2029-Inputs!$B$9))</f>
        <v>-10.1910625</v>
      </c>
      <c r="J35" s="41" t="n">
        <f aca="false">-IF((2032-Inputs!$B$51-Inputs!$B$9)&lt;0,0,IF((2032-Inputs!$B$51-Inputs!$B$9)=0,Inputs!$B$165,1)*Inputs!$B$160*(1+Inputs!$B$166)^(2032-2029-Inputs!$B$9))</f>
        <v>-10.4458390625</v>
      </c>
      <c r="K35" s="41" t="n">
        <f aca="false">-IF((2033-Inputs!$B$51-Inputs!$B$9)&lt;0,0,IF((2033-Inputs!$B$51-Inputs!$B$9)=0,Inputs!$B$165,1)*Inputs!$B$160*(1+Inputs!$B$166)^(2033-2029-Inputs!$B$9))</f>
        <v>-10.7069850390625</v>
      </c>
      <c r="L35" s="41" t="n">
        <f aca="false">-IF((2034-Inputs!$B$51-Inputs!$B$9)&lt;0,0,IF((2034-Inputs!$B$51-Inputs!$B$9)=0,Inputs!$B$165,1)*Inputs!$B$160*(1+Inputs!$B$166)^(2034-2029-Inputs!$B$9))</f>
        <v>-10.9746596650391</v>
      </c>
      <c r="M35" s="41" t="n">
        <f aca="false">-IF((2035-Inputs!$B$51-Inputs!$B$9)&lt;0,0,IF((2035-Inputs!$B$51-Inputs!$B$9)=0,Inputs!$B$165,1)*Inputs!$B$160*(1+Inputs!$B$166)^(2035-2029-Inputs!$B$9))</f>
        <v>-11.249026156665</v>
      </c>
      <c r="N35" s="41" t="n">
        <f aca="false">-IF((2036-Inputs!$B$51-Inputs!$B$9)&lt;0,0,IF((2036-Inputs!$B$51-Inputs!$B$9)=0,Inputs!$B$165,1)*Inputs!$B$160*(1+Inputs!$B$166)^(2036-2029-Inputs!$B$9))</f>
        <v>-11.5302518105817</v>
      </c>
      <c r="O35" s="41" t="n">
        <f aca="false">-IF((2037-Inputs!$B$51-Inputs!$B$9)&lt;0,0,IF((2037-Inputs!$B$51-Inputs!$B$9)=0,Inputs!$B$165,1)*Inputs!$B$160*(1+Inputs!$B$166)^(2037-2029-Inputs!$B$9))</f>
        <v>-11.8185081058462</v>
      </c>
      <c r="P35" s="41" t="n">
        <f aca="false">-IF((2038-Inputs!$B$51-Inputs!$B$9)&lt;0,0,IF((2038-Inputs!$B$51-Inputs!$B$9)=0,Inputs!$B$165,1)*Inputs!$B$160*(1+Inputs!$B$166)^(2038-2029-Inputs!$B$9))</f>
        <v>-12.1139708084924</v>
      </c>
      <c r="Q35" s="41" t="n">
        <f aca="false">-IF((2039-Inputs!$B$51-Inputs!$B$9)&lt;0,0,IF((2039-Inputs!$B$51-Inputs!$B$9)=0,Inputs!$B$165,1)*Inputs!$B$160*(1+Inputs!$B$166)^(2039-2029-Inputs!$B$9))</f>
        <v>-12.4168200787047</v>
      </c>
      <c r="R35" s="41" t="n">
        <f aca="false">-IF((2040-Inputs!$B$51-Inputs!$B$9)&lt;0,0,IF((2040-Inputs!$B$51-Inputs!$B$9)=0,Inputs!$B$165,1)*Inputs!$B$160*(1+Inputs!$B$166)^(2040-2029-Inputs!$B$9))</f>
        <v>-12.7272405806723</v>
      </c>
      <c r="S35" s="41" t="n">
        <f aca="false">-IF((2041-Inputs!$B$51-Inputs!$B$9)&lt;0,0,IF((2041-Inputs!$B$51-Inputs!$B$9)=0,Inputs!$B$165,1)*Inputs!$B$160*(1+Inputs!$B$166)^(2041-2029-Inputs!$B$9))</f>
        <v>-13.0454215951891</v>
      </c>
      <c r="T35" s="41" t="n">
        <f aca="false">-IF((2042-Inputs!$B$51-Inputs!$B$9)&lt;0,0,IF((2042-Inputs!$B$51-Inputs!$B$9)=0,Inputs!$B$165,1)*Inputs!$B$160*(1+Inputs!$B$166)^(2042-2029-Inputs!$B$9))</f>
        <v>-13.3715571350688</v>
      </c>
      <c r="U35" s="41" t="n">
        <f aca="false">-IF((2043-Inputs!$B$51-Inputs!$B$9)&lt;0,0,IF((2043-Inputs!$B$51-Inputs!$B$9)=0,Inputs!$B$165,1)*Inputs!$B$160*(1+Inputs!$B$166)^(2043-2029-Inputs!$B$9))</f>
        <v>-13.7058460634455</v>
      </c>
      <c r="V35" s="41" t="n">
        <f aca="false">-IF((2044-Inputs!$B$51-Inputs!$B$9)&lt;0,0,IF((2044-Inputs!$B$51-Inputs!$B$9)=0,Inputs!$B$165,1)*Inputs!$B$160*(1+Inputs!$B$166)^(2044-2029-Inputs!$B$9))</f>
        <v>-14.0484922150317</v>
      </c>
      <c r="W35" s="41" t="n">
        <f aca="false">-IF((2045-Inputs!$B$51-Inputs!$B$9)&lt;0,0,IF((2045-Inputs!$B$51-Inputs!$B$9)=0,Inputs!$B$165,1)*Inputs!$B$160*(1+Inputs!$B$166)^(2045-2029-Inputs!$B$9))</f>
        <v>-14.3997045204075</v>
      </c>
      <c r="X35" s="41" t="n">
        <f aca="false">-IF((2046-Inputs!$B$51-Inputs!$B$9)&lt;0,0,IF((2046-Inputs!$B$51-Inputs!$B$9)=0,Inputs!$B$165,1)*Inputs!$B$160*(1+Inputs!$B$166)^(2046-2029-Inputs!$B$9))</f>
        <v>-14.7596971334176</v>
      </c>
      <c r="Y35" s="41" t="n">
        <f aca="false">-IF((2047-Inputs!$B$51-Inputs!$B$9)&lt;0,0,IF((2047-Inputs!$B$51-Inputs!$B$9)=0,Inputs!$B$165,1)*Inputs!$B$160*(1+Inputs!$B$166)^(2047-2029-Inputs!$B$9))</f>
        <v>-15.1286895617531</v>
      </c>
      <c r="Z35" s="41" t="n">
        <f aca="false">-IF((2048-Inputs!$B$51-Inputs!$B$9)&lt;0,0,IF((2048-Inputs!$B$51-Inputs!$B$9)=0,Inputs!$B$165,1)*Inputs!$B$160*(1+Inputs!$B$166)^(2048-2029-Inputs!$B$9))</f>
        <v>-15.5069068007969</v>
      </c>
      <c r="AA35" s="41" t="n">
        <f aca="false">-IF((2049-Inputs!$B$51-Inputs!$B$9)&lt;0,0,IF((2049-Inputs!$B$51-Inputs!$B$9)=0,Inputs!$B$165,1)*Inputs!$B$160*(1+Inputs!$B$166)^(2049-2029-Inputs!$B$9))</f>
        <v>-15.8945794708168</v>
      </c>
      <c r="AB35" s="41" t="n">
        <f aca="false">-IF((2050-Inputs!$B$51-Inputs!$B$9)&lt;0,0,IF((2050-Inputs!$B$51-Inputs!$B$9)=0,Inputs!$B$165,1)*Inputs!$B$160*(1+Inputs!$B$166)^(2050-2029-Inputs!$B$9))</f>
        <v>-16.2919439575872</v>
      </c>
      <c r="AC35" s="41" t="n">
        <f aca="false">-IF((2051-Inputs!$B$51-Inputs!$B$9)&lt;0,0,IF((2051-Inputs!$B$51-Inputs!$B$9)=0,Inputs!$B$165,1)*Inputs!$B$160*(1+Inputs!$B$166)^(2051-2029-Inputs!$B$9))</f>
        <v>-16.6992425565269</v>
      </c>
      <c r="AD35" s="41" t="n">
        <f aca="false">-IF((2052-Inputs!$B$51-Inputs!$B$9)&lt;0,0,IF((2052-Inputs!$B$51-Inputs!$B$9)=0,Inputs!$B$165,1)*Inputs!$B$160*(1+Inputs!$B$166)^(2052-2029-Inputs!$B$9))</f>
        <v>-17.1167236204401</v>
      </c>
      <c r="AE35" s="41" t="n">
        <f aca="false">-IF((2053-Inputs!$B$51-Inputs!$B$9)&lt;0,0,IF((2053-Inputs!$B$51-Inputs!$B$9)=0,Inputs!$B$165,1)*Inputs!$B$160*(1+Inputs!$B$166)^(2053-2029-Inputs!$B$9))</f>
        <v>-17.5446417109511</v>
      </c>
      <c r="AF35" s="41" t="n">
        <f aca="false">-IF((2054-Inputs!$B$51-Inputs!$B$9)&lt;0,0,IF((2054-Inputs!$B$51-Inputs!$B$9)=0,Inputs!$B$165,1)*Inputs!$B$160*(1+Inputs!$B$166)^(2054-2029-Inputs!$B$9))</f>
        <v>-17.9832577537249</v>
      </c>
      <c r="AG35" s="41" t="n">
        <f aca="false">-IF((2055-Inputs!$B$51-Inputs!$B$9)&lt;0,0,IF((2055-Inputs!$B$51-Inputs!$B$9)=0,Inputs!$B$165,1)*Inputs!$B$160*(1+Inputs!$B$166)^(2055-2029-Inputs!$B$9))</f>
        <v>-18.432839197568</v>
      </c>
      <c r="AH35" s="41" t="n">
        <f aca="false">-IF((2056-Inputs!$B$51-Inputs!$B$9)&lt;0,0,IF((2056-Inputs!$B$51-Inputs!$B$9)=0,Inputs!$B$165,1)*Inputs!$B$160*(1+Inputs!$B$166)^(2056-2029-Inputs!$B$9))</f>
        <v>-18.8936601775072</v>
      </c>
      <c r="AI35" s="41" t="n">
        <f aca="false">-IF((2057-Inputs!$B$51-Inputs!$B$9)&lt;0,0,IF((2057-Inputs!$B$51-Inputs!$B$9)=0,Inputs!$B$165,1)*Inputs!$B$160*(1+Inputs!$B$166)^(2057-2029-Inputs!$B$9))</f>
        <v>-19.3660016819449</v>
      </c>
      <c r="AJ35" s="41" t="n">
        <f aca="false">-IF((2058-Inputs!$B$51-Inputs!$B$9)&lt;0,0,IF((2058-Inputs!$B$51-Inputs!$B$9)=0,Inputs!$B$165,1)*Inputs!$B$160*(1+Inputs!$B$166)^(2058-2029-Inputs!$B$9))</f>
        <v>-19.8501517239935</v>
      </c>
      <c r="AK35" s="41" t="n">
        <f aca="false">-IF((2059-Inputs!$B$51-Inputs!$B$9)&lt;0,0,IF((2059-Inputs!$B$51-Inputs!$B$9)=0,Inputs!$B$165,1)*Inputs!$B$160*(1+Inputs!$B$166)^(2059-2029-Inputs!$B$9))</f>
        <v>-20.3464055170933</v>
      </c>
      <c r="AL35" s="41" t="n">
        <f aca="false">-IF((2060-Inputs!$B$51-Inputs!$B$9)&lt;0,0,IF((2060-Inputs!$B$51-Inputs!$B$9)=0,Inputs!$B$165,1)*Inputs!$B$160*(1+Inputs!$B$166)^(2060-2029-Inputs!$B$9))</f>
        <v>-20.8550656550207</v>
      </c>
      <c r="AM35" s="41" t="n">
        <f aca="false">-IF((2061-Inputs!$B$51-Inputs!$B$9)&lt;0,0,IF((2061-Inputs!$B$51-Inputs!$B$9)=0,Inputs!$B$165,1)*Inputs!$B$160*(1+Inputs!$B$166)^(2061-2029-Inputs!$B$9))</f>
        <v>-21.3764422963962</v>
      </c>
      <c r="AN35" s="41" t="n">
        <f aca="false">-IF((2062-Inputs!$B$51-Inputs!$B$9)&lt;0,0,IF((2062-Inputs!$B$51-Inputs!$B$9)=0,Inputs!$B$165,1)*Inputs!$B$160*(1+Inputs!$B$166)^(2062-2029-Inputs!$B$9))</f>
        <v>-21.9108533538061</v>
      </c>
      <c r="AO35" s="41" t="n">
        <f aca="false">-IF((2063-Inputs!$B$51-Inputs!$B$9)&lt;0,0,IF((2063-Inputs!$B$51-Inputs!$B$9)=0,Inputs!$B$165,1)*Inputs!$B$160*(1+Inputs!$B$166)^(2063-2029-Inputs!$B$9))</f>
        <v>-22.4586246876512</v>
      </c>
      <c r="AP35" s="41" t="n">
        <f aca="false">-IF((2064-Inputs!$B$51-Inputs!$B$9)&lt;0,0,IF((2064-Inputs!$B$51-Inputs!$B$9)=0,Inputs!$B$165,1)*Inputs!$B$160*(1+Inputs!$B$166)^(2064-2029-Inputs!$B$9))</f>
        <v>-23.0200903048425</v>
      </c>
      <c r="AQ35" s="41" t="n">
        <f aca="false">-IF((2065-Inputs!$B$51-Inputs!$B$9)&lt;0,0,IF((2065-Inputs!$B$51-Inputs!$B$9)=0,Inputs!$B$165,1)*Inputs!$B$160*(1+Inputs!$B$166)^(2065-2029-Inputs!$B$9))</f>
        <v>-23.5955925624636</v>
      </c>
      <c r="AR35" s="41" t="n">
        <f aca="false">-IF((2066-Inputs!$B$51-Inputs!$B$9)&lt;0,0,IF((2066-Inputs!$B$51-Inputs!$B$9)=0,Inputs!$B$165,1)*Inputs!$B$160*(1+Inputs!$B$166)^(2066-2029-Inputs!$B$9))</f>
        <v>-24.1854823765251</v>
      </c>
      <c r="AS35" s="41" t="n">
        <f aca="false">-IF((2067-Inputs!$B$51-Inputs!$B$9)&lt;0,0,IF((2067-Inputs!$B$51-Inputs!$B$9)=0,Inputs!$B$165,1)*Inputs!$B$160*(1+Inputs!$B$166)^(2067-2029-Inputs!$B$9))</f>
        <v>-24.7901194359383</v>
      </c>
      <c r="AT35" s="41" t="n">
        <f aca="false">-IF((2068-Inputs!$B$51-Inputs!$B$9)&lt;0,0,IF((2068-Inputs!$B$51-Inputs!$B$9)=0,Inputs!$B$165,1)*Inputs!$B$160*(1+Inputs!$B$166)^(2068-2029-Inputs!$B$9))</f>
        <v>-25.4098724218367</v>
      </c>
      <c r="AU35" s="41" t="n">
        <f aca="false">-IF((2069-Inputs!$B$51-Inputs!$B$9)&lt;0,0,IF((2069-Inputs!$B$51-Inputs!$B$9)=0,Inputs!$B$165,1)*Inputs!$B$160*(1+Inputs!$B$166)^(2069-2029-Inputs!$B$9))</f>
        <v>-26.0451192323826</v>
      </c>
      <c r="AV35" s="41" t="n">
        <f aca="false">-IF((2070-Inputs!$B$51-Inputs!$B$9)&lt;0,0,IF((2070-Inputs!$B$51-Inputs!$B$9)=0,Inputs!$B$165,1)*Inputs!$B$160*(1+Inputs!$B$166)^(2070-2029-Inputs!$B$9))</f>
        <v>-26.6962472131922</v>
      </c>
      <c r="AW35" s="41" t="n">
        <f aca="false">-IF((2071-Inputs!$B$51-Inputs!$B$9)&lt;0,0,IF((2071-Inputs!$B$51-Inputs!$B$9)=0,Inputs!$B$165,1)*Inputs!$B$160*(1+Inputs!$B$166)^(2071-2029-Inputs!$B$9))</f>
        <v>-27.363653393522</v>
      </c>
      <c r="AX35" s="41" t="n">
        <f aca="false">-IF((2072-Inputs!$B$51-Inputs!$B$9)&lt;0,0,IF((2072-Inputs!$B$51-Inputs!$B$9)=0,Inputs!$B$165,1)*Inputs!$B$160*(1+Inputs!$B$166)^(2072-2029-Inputs!$B$9))</f>
        <v>-28.0477447283601</v>
      </c>
      <c r="AY35" s="41" t="n">
        <f aca="false">-IF((2073-Inputs!$B$51-Inputs!$B$9)&lt;0,0,IF((2073-Inputs!$B$51-Inputs!$B$9)=0,Inputs!$B$165,1)*Inputs!$B$160*(1+Inputs!$B$166)^(2073-2029-Inputs!$B$9))</f>
        <v>-28.7489383465691</v>
      </c>
      <c r="AZ35" s="41" t="n">
        <f aca="false">-IF((2074-Inputs!$B$51-Inputs!$B$9)&lt;0,0,IF((2074-Inputs!$B$51-Inputs!$B$9)=0,Inputs!$B$165,1)*Inputs!$B$160*(1+Inputs!$B$166)^(2074-2029-Inputs!$B$9))</f>
        <v>-29.4676618052333</v>
      </c>
    </row>
    <row r="36" customFormat="false" ht="15" hidden="false" customHeight="true" outlineLevel="0" collapsed="false">
      <c r="A36" s="13" t="s">
        <v>422</v>
      </c>
      <c r="C36" s="41" t="n">
        <f aca="false">SUM(D36:AZ36)</f>
        <v>-171.014012757756</v>
      </c>
      <c r="D36" s="41" t="n">
        <f aca="false">-D31*Inputs!$B$161</f>
        <v>-0</v>
      </c>
      <c r="E36" s="41" t="n">
        <f aca="false">-E31*Inputs!$B$161</f>
        <v>-0</v>
      </c>
      <c r="F36" s="41" t="n">
        <f aca="false">-F31*Inputs!$B$161</f>
        <v>-0.289050543288268</v>
      </c>
      <c r="G36" s="41" t="n">
        <f aca="false">-G31*Inputs!$B$161</f>
        <v>-1.15620217315307</v>
      </c>
      <c r="H36" s="41" t="n">
        <f aca="false">-H31*Inputs!$B$161</f>
        <v>-1.50846369521597</v>
      </c>
      <c r="I36" s="41" t="n">
        <f aca="false">-I31*Inputs!$B$161</f>
        <v>-1.83632423663177</v>
      </c>
      <c r="J36" s="41" t="n">
        <f aca="false">-J31*Inputs!$B$161</f>
        <v>-1.83632423663177</v>
      </c>
      <c r="K36" s="41" t="n">
        <f aca="false">-K31*Inputs!$B$161</f>
        <v>-1.83632423663177</v>
      </c>
      <c r="L36" s="41" t="n">
        <f aca="false">-L31*Inputs!$B$161</f>
        <v>-2.01995666029494</v>
      </c>
      <c r="M36" s="41" t="n">
        <f aca="false">-M31*Inputs!$B$161</f>
        <v>-2.01995666029494</v>
      </c>
      <c r="N36" s="41" t="n">
        <f aca="false">-N31*Inputs!$B$161</f>
        <v>-2.01995666029494</v>
      </c>
      <c r="O36" s="41" t="n">
        <f aca="false">-O31*Inputs!$B$161</f>
        <v>-2.22195232632444</v>
      </c>
      <c r="P36" s="41" t="n">
        <f aca="false">-P31*Inputs!$B$161</f>
        <v>-2.22195232632444</v>
      </c>
      <c r="Q36" s="41" t="n">
        <f aca="false">-Q31*Inputs!$B$161</f>
        <v>-2.22195232632444</v>
      </c>
      <c r="R36" s="41" t="n">
        <f aca="false">-R31*Inputs!$B$161</f>
        <v>-2.44414755895688</v>
      </c>
      <c r="S36" s="41" t="n">
        <f aca="false">-S31*Inputs!$B$161</f>
        <v>-2.44414755895688</v>
      </c>
      <c r="T36" s="41" t="n">
        <f aca="false">-T31*Inputs!$B$161</f>
        <v>-2.44414755895688</v>
      </c>
      <c r="U36" s="41" t="n">
        <f aca="false">-U31*Inputs!$B$161</f>
        <v>-2.68856231485257</v>
      </c>
      <c r="V36" s="41" t="n">
        <f aca="false">-V31*Inputs!$B$161</f>
        <v>-2.68856231485257</v>
      </c>
      <c r="W36" s="41" t="n">
        <f aca="false">-W31*Inputs!$B$161</f>
        <v>-2.68856231485257</v>
      </c>
      <c r="X36" s="41" t="n">
        <f aca="false">-X31*Inputs!$B$161</f>
        <v>-2.95741854633783</v>
      </c>
      <c r="Y36" s="41" t="n">
        <f aca="false">-Y31*Inputs!$B$161</f>
        <v>-2.95741854633783</v>
      </c>
      <c r="Z36" s="41" t="n">
        <f aca="false">-Z31*Inputs!$B$161</f>
        <v>-2.95741854633783</v>
      </c>
      <c r="AA36" s="41" t="n">
        <f aca="false">-AA31*Inputs!$B$161</f>
        <v>-3.25316040097161</v>
      </c>
      <c r="AB36" s="41" t="n">
        <f aca="false">-AB31*Inputs!$B$161</f>
        <v>-3.25316040097161</v>
      </c>
      <c r="AC36" s="41" t="n">
        <f aca="false">-AC31*Inputs!$B$161</f>
        <v>-3.25316040097161</v>
      </c>
      <c r="AD36" s="41" t="n">
        <f aca="false">-AD31*Inputs!$B$161</f>
        <v>-3.57847644106877</v>
      </c>
      <c r="AE36" s="41" t="n">
        <f aca="false">-AE31*Inputs!$B$161</f>
        <v>-3.57847644106877</v>
      </c>
      <c r="AF36" s="41" t="n">
        <f aca="false">-AF31*Inputs!$B$161</f>
        <v>-3.57847644106877</v>
      </c>
      <c r="AG36" s="41" t="n">
        <f aca="false">-AG31*Inputs!$B$161</f>
        <v>-3.93632408517565</v>
      </c>
      <c r="AH36" s="41" t="n">
        <f aca="false">-AH31*Inputs!$B$161</f>
        <v>-3.93632408517565</v>
      </c>
      <c r="AI36" s="41" t="n">
        <f aca="false">-AI31*Inputs!$B$161</f>
        <v>-3.93632408517565</v>
      </c>
      <c r="AJ36" s="41" t="n">
        <f aca="false">-AJ31*Inputs!$B$161</f>
        <v>-4.32995649369321</v>
      </c>
      <c r="AK36" s="41" t="n">
        <f aca="false">-AK31*Inputs!$B$161</f>
        <v>-4.32995649369321</v>
      </c>
      <c r="AL36" s="41" t="n">
        <f aca="false">-AL31*Inputs!$B$161</f>
        <v>-4.32995649369321</v>
      </c>
      <c r="AM36" s="41" t="n">
        <f aca="false">-AM31*Inputs!$B$161</f>
        <v>-4.76295214306253</v>
      </c>
      <c r="AN36" s="41" t="n">
        <f aca="false">-AN31*Inputs!$B$161</f>
        <v>-4.76295214306253</v>
      </c>
      <c r="AO36" s="41" t="n">
        <f aca="false">-AO31*Inputs!$B$161</f>
        <v>-4.76295214306253</v>
      </c>
      <c r="AP36" s="41" t="n">
        <f aca="false">-AP31*Inputs!$B$161</f>
        <v>-5.23924735736879</v>
      </c>
      <c r="AQ36" s="41" t="n">
        <f aca="false">-AQ31*Inputs!$B$161</f>
        <v>-5.23924735736879</v>
      </c>
      <c r="AR36" s="41" t="n">
        <f aca="false">-AR31*Inputs!$B$161</f>
        <v>-5.23924735736879</v>
      </c>
      <c r="AS36" s="41" t="n">
        <f aca="false">-AS31*Inputs!$B$161</f>
        <v>-5.76317209310567</v>
      </c>
      <c r="AT36" s="41" t="n">
        <f aca="false">-AT31*Inputs!$B$161</f>
        <v>-5.76317209310567</v>
      </c>
      <c r="AU36" s="41" t="n">
        <f aca="false">-AU31*Inputs!$B$161</f>
        <v>-5.76317209310567</v>
      </c>
      <c r="AV36" s="41" t="n">
        <f aca="false">-AV31*Inputs!$B$161</f>
        <v>-6.33948930241623</v>
      </c>
      <c r="AW36" s="41" t="n">
        <f aca="false">-AW31*Inputs!$B$161</f>
        <v>-6.33948930241623</v>
      </c>
      <c r="AX36" s="41" t="n">
        <f aca="false">-AX31*Inputs!$B$161</f>
        <v>-6.33948930241623</v>
      </c>
      <c r="AY36" s="41" t="n">
        <f aca="false">-AY31*Inputs!$B$161</f>
        <v>-6.97343823265786</v>
      </c>
      <c r="AZ36" s="41" t="n">
        <f aca="false">-AZ31*Inputs!$B$161</f>
        <v>-6.97343823265786</v>
      </c>
    </row>
    <row r="37" customFormat="false" ht="15" hidden="false" customHeight="true" outlineLevel="0" collapsed="false">
      <c r="A37" s="6" t="s">
        <v>640</v>
      </c>
      <c r="C37" s="44" t="n">
        <f aca="false">SUM(D37:AZ37)</f>
        <v>4467.78662379417</v>
      </c>
      <c r="D37" s="44" t="n">
        <f aca="false">D31+D35+D36</f>
        <v>0</v>
      </c>
      <c r="E37" s="44" t="n">
        <f aca="false">E31+E35+E36</f>
        <v>0</v>
      </c>
      <c r="F37" s="44" t="n">
        <f aca="false">F31+F35+F36</f>
        <v>4.21408377824137</v>
      </c>
      <c r="G37" s="44" t="n">
        <f aca="false">G31+G35+G36</f>
        <v>26.0831643812582</v>
      </c>
      <c r="H37" s="44" t="n">
        <f aca="false">H31+H35+H36</f>
        <v>36.7427645864444</v>
      </c>
      <c r="I37" s="44" t="n">
        <f aca="false">I31+I35+I36</f>
        <v>46.6411192260444</v>
      </c>
      <c r="J37" s="44" t="n">
        <f aca="false">J31+J35+J36</f>
        <v>46.3863426635444</v>
      </c>
      <c r="K37" s="44" t="n">
        <f aca="false">K31+K35+K36</f>
        <v>46.1251966869819</v>
      </c>
      <c r="L37" s="44" t="n">
        <f aca="false">L31+L35+L36</f>
        <v>51.5407402336098</v>
      </c>
      <c r="M37" s="44" t="n">
        <f aca="false">M31+M35+M36</f>
        <v>51.2663737419838</v>
      </c>
      <c r="N37" s="44" t="n">
        <f aca="false">N31+N35+N36</f>
        <v>50.9851480880672</v>
      </c>
      <c r="O37" s="44" t="n">
        <f aca="false">O31+O35+O36</f>
        <v>56.9484317826676</v>
      </c>
      <c r="P37" s="44" t="n">
        <f aca="false">P31+P35+P36</f>
        <v>56.6529690800214</v>
      </c>
      <c r="Q37" s="44" t="n">
        <f aca="false">Q31+Q35+Q36</f>
        <v>56.3501198098091</v>
      </c>
      <c r="R37" s="44" t="n">
        <f aca="false">R31+R35+R36</f>
        <v>62.9163932966929</v>
      </c>
      <c r="S37" s="44" t="n">
        <f aca="false">S31+S35+S36</f>
        <v>62.5982122821761</v>
      </c>
      <c r="T37" s="44" t="n">
        <f aca="false">T31+T35+T36</f>
        <v>62.2720767422964</v>
      </c>
      <c r="U37" s="44" t="n">
        <f aca="false">U31+U35+U36</f>
        <v>69.5021512016562</v>
      </c>
      <c r="V37" s="44" t="n">
        <f aca="false">V31+V35+V36</f>
        <v>69.15950505007</v>
      </c>
      <c r="W37" s="44" t="n">
        <f aca="false">W31+W35+W36</f>
        <v>68.8082927446942</v>
      </c>
      <c r="X37" s="44" t="n">
        <f aca="false">X31+X35+X36</f>
        <v>76.7690998581942</v>
      </c>
      <c r="Y37" s="44" t="n">
        <f aca="false">Y31+Y35+Y36</f>
        <v>76.4001074298588</v>
      </c>
      <c r="Z37" s="44" t="n">
        <f aca="false">Z31+Z35+Z36</f>
        <v>76.021890190815</v>
      </c>
      <c r="AA37" s="44" t="n">
        <f aca="false">AA31+AA35+AA36</f>
        <v>84.7870972199562</v>
      </c>
      <c r="AB37" s="44" t="n">
        <f aca="false">AB31+AB35+AB36</f>
        <v>84.3897327331858</v>
      </c>
      <c r="AC37" s="44" t="n">
        <f aca="false">AC31+AC35+AC36</f>
        <v>83.9824341342461</v>
      </c>
      <c r="AD37" s="44" t="n">
        <f aca="false">AD31+AD35+AD36</f>
        <v>93.6331207394103</v>
      </c>
      <c r="AE37" s="44" t="n">
        <f aca="false">AE31+AE35+AE36</f>
        <v>93.2052026488993</v>
      </c>
      <c r="AF37" s="44" t="n">
        <f aca="false">AF31+AF35+AF36</f>
        <v>92.7665866061255</v>
      </c>
      <c r="AG37" s="44" t="n">
        <f aca="false">AG31+AG35+AG36</f>
        <v>103.391989598267</v>
      </c>
      <c r="AH37" s="44" t="n">
        <f aca="false">AH31+AH35+AH36</f>
        <v>102.931168618328</v>
      </c>
      <c r="AI37" s="44" t="n">
        <f aca="false">AI31+AI35+AI36</f>
        <v>102.458827113891</v>
      </c>
      <c r="AJ37" s="44" t="n">
        <f aca="false">AJ31+AJ35+AJ36</f>
        <v>114.157159951425</v>
      </c>
      <c r="AK37" s="44" t="n">
        <f aca="false">AK31+AK35+AK36</f>
        <v>113.660906158326</v>
      </c>
      <c r="AL37" s="44" t="n">
        <f aca="false">AL31+AL35+AL36</f>
        <v>113.152246020398</v>
      </c>
      <c r="AM37" s="44" t="n">
        <f aca="false">AM31+AM35+AM36</f>
        <v>126.031600546565</v>
      </c>
      <c r="AN37" s="44" t="n">
        <f aca="false">AN31+AN35+AN36</f>
        <v>125.497189489155</v>
      </c>
      <c r="AO37" s="44" t="n">
        <f aca="false">AO31+AO35+AO36</f>
        <v>124.94941815531</v>
      </c>
      <c r="AP37" s="44" t="n">
        <f aca="false">AP31+AP35+AP36</f>
        <v>139.128756822415</v>
      </c>
      <c r="AQ37" s="44" t="n">
        <f aca="false">AQ31+AQ35+AQ36</f>
        <v>138.553254564793</v>
      </c>
      <c r="AR37" s="44" t="n">
        <f aca="false">AR31+AR35+AR36</f>
        <v>137.963364750732</v>
      </c>
      <c r="AS37" s="44" t="n">
        <f aca="false">AS31+AS35+AS36</f>
        <v>153.573612404044</v>
      </c>
      <c r="AT37" s="44" t="n">
        <f aca="false">AT31+AT35+AT36</f>
        <v>152.953859418146</v>
      </c>
      <c r="AU37" s="44" t="n">
        <f aca="false">AU31+AU35+AU36</f>
        <v>152.3186126076</v>
      </c>
      <c r="AV37" s="44" t="n">
        <f aca="false">AV31+AV35+AV36</f>
        <v>169.503857810789</v>
      </c>
      <c r="AW37" s="44" t="n">
        <f aca="false">AW31+AW35+AW36</f>
        <v>168.836451630459</v>
      </c>
      <c r="AX37" s="44" t="n">
        <f aca="false">AX31+AX35+AX36</f>
        <v>168.152360295621</v>
      </c>
      <c r="AY37" s="44" t="n">
        <f aca="false">AY31+AY35+AY36</f>
        <v>187.07117717981</v>
      </c>
      <c r="AZ37" s="44" t="n">
        <f aca="false">AZ31+AZ35+AZ36</f>
        <v>186.352453721146</v>
      </c>
    </row>
    <row r="39" customFormat="false" ht="15" hidden="false" customHeight="true" outlineLevel="0" collapsed="false">
      <c r="A39" s="11" t="s">
        <v>599</v>
      </c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</row>
    <row r="40" customFormat="false" ht="15" hidden="false" customHeight="true" outlineLevel="0" collapsed="false">
      <c r="A40" s="13" t="s">
        <v>600</v>
      </c>
      <c r="C40" s="41" t="n">
        <f aca="false">SUM(D40:AZ40)</f>
        <v>0</v>
      </c>
      <c r="D40" s="41" t="n">
        <f aca="false">-D31*Inputs!$B$13*Inputs!$B$16</f>
        <v>-0</v>
      </c>
      <c r="E40" s="41" t="n">
        <f aca="false">-E31*Inputs!$B$13*Inputs!$B$16</f>
        <v>-0</v>
      </c>
      <c r="F40" s="41" t="n">
        <f aca="false">-F31*Inputs!$B$13*Inputs!$B$16</f>
        <v>-0</v>
      </c>
      <c r="G40" s="41" t="n">
        <f aca="false">-G31*Inputs!$B$13*Inputs!$B$16</f>
        <v>-0</v>
      </c>
      <c r="H40" s="41" t="n">
        <f aca="false">-H31*Inputs!$B$13*Inputs!$B$16</f>
        <v>-0</v>
      </c>
      <c r="I40" s="41" t="n">
        <f aca="false">-I31*Inputs!$B$13*Inputs!$B$16</f>
        <v>-0</v>
      </c>
      <c r="J40" s="41" t="n">
        <f aca="false">-J31*Inputs!$B$13*Inputs!$B$16</f>
        <v>-0</v>
      </c>
      <c r="K40" s="41" t="n">
        <f aca="false">-K31*Inputs!$B$13*Inputs!$B$16</f>
        <v>-0</v>
      </c>
      <c r="L40" s="41" t="n">
        <f aca="false">-L31*Inputs!$B$13*Inputs!$B$16</f>
        <v>-0</v>
      </c>
      <c r="M40" s="41" t="n">
        <f aca="false">-M31*Inputs!$B$13*Inputs!$B$16</f>
        <v>-0</v>
      </c>
      <c r="N40" s="41" t="n">
        <f aca="false">-N31*Inputs!$B$13*Inputs!$B$16</f>
        <v>-0</v>
      </c>
      <c r="O40" s="41" t="n">
        <f aca="false">-O31*Inputs!$B$13*Inputs!$B$16</f>
        <v>-0</v>
      </c>
      <c r="P40" s="41" t="n">
        <f aca="false">-P31*Inputs!$B$13*Inputs!$B$16</f>
        <v>-0</v>
      </c>
      <c r="Q40" s="41" t="n">
        <f aca="false">-Q31*Inputs!$B$13*Inputs!$B$16</f>
        <v>-0</v>
      </c>
      <c r="R40" s="41" t="n">
        <f aca="false">-R31*Inputs!$B$13*Inputs!$B$16</f>
        <v>-0</v>
      </c>
      <c r="S40" s="41" t="n">
        <f aca="false">-S31*Inputs!$B$13*Inputs!$B$16</f>
        <v>-0</v>
      </c>
      <c r="T40" s="41" t="n">
        <f aca="false">-T31*Inputs!$B$13*Inputs!$B$16</f>
        <v>-0</v>
      </c>
      <c r="U40" s="41" t="n">
        <f aca="false">-U31*Inputs!$B$13*Inputs!$B$16</f>
        <v>-0</v>
      </c>
      <c r="V40" s="41" t="n">
        <f aca="false">-V31*Inputs!$B$13*Inputs!$B$16</f>
        <v>-0</v>
      </c>
      <c r="W40" s="41" t="n">
        <f aca="false">-W31*Inputs!$B$13*Inputs!$B$16</f>
        <v>-0</v>
      </c>
      <c r="X40" s="41" t="n">
        <f aca="false">-X31*Inputs!$B$13*Inputs!$B$16</f>
        <v>-0</v>
      </c>
      <c r="Y40" s="41" t="n">
        <f aca="false">-Y31*Inputs!$B$13*Inputs!$B$16</f>
        <v>-0</v>
      </c>
      <c r="Z40" s="41" t="n">
        <f aca="false">-Z31*Inputs!$B$13*Inputs!$B$16</f>
        <v>-0</v>
      </c>
      <c r="AA40" s="41" t="n">
        <f aca="false">-AA31*Inputs!$B$13*Inputs!$B$16</f>
        <v>-0</v>
      </c>
      <c r="AB40" s="41" t="n">
        <f aca="false">-AB31*Inputs!$B$13*Inputs!$B$16</f>
        <v>-0</v>
      </c>
      <c r="AC40" s="41" t="n">
        <f aca="false">-AC31*Inputs!$B$13*Inputs!$B$16</f>
        <v>-0</v>
      </c>
      <c r="AD40" s="41" t="n">
        <f aca="false">-AD31*Inputs!$B$13*Inputs!$B$16</f>
        <v>-0</v>
      </c>
      <c r="AE40" s="41" t="n">
        <f aca="false">-AE31*Inputs!$B$13*Inputs!$B$16</f>
        <v>-0</v>
      </c>
      <c r="AF40" s="41" t="n">
        <f aca="false">-AF31*Inputs!$B$13*Inputs!$B$16</f>
        <v>-0</v>
      </c>
      <c r="AG40" s="41" t="n">
        <f aca="false">-AG31*Inputs!$B$13*Inputs!$B$16</f>
        <v>-0</v>
      </c>
      <c r="AH40" s="41" t="n">
        <f aca="false">-AH31*Inputs!$B$13*Inputs!$B$16</f>
        <v>-0</v>
      </c>
      <c r="AI40" s="41" t="n">
        <f aca="false">-AI31*Inputs!$B$13*Inputs!$B$16</f>
        <v>-0</v>
      </c>
      <c r="AJ40" s="41" t="n">
        <f aca="false">-AJ31*Inputs!$B$13*Inputs!$B$16</f>
        <v>-0</v>
      </c>
      <c r="AK40" s="41" t="n">
        <f aca="false">-AK31*Inputs!$B$13*Inputs!$B$16</f>
        <v>-0</v>
      </c>
      <c r="AL40" s="41" t="n">
        <f aca="false">-AL31*Inputs!$B$13*Inputs!$B$16</f>
        <v>-0</v>
      </c>
      <c r="AM40" s="41" t="n">
        <f aca="false">-AM31*Inputs!$B$13*Inputs!$B$16</f>
        <v>-0</v>
      </c>
      <c r="AN40" s="41" t="n">
        <f aca="false">-AN31*Inputs!$B$13*Inputs!$B$16</f>
        <v>-0</v>
      </c>
      <c r="AO40" s="41" t="n">
        <f aca="false">-AO31*Inputs!$B$13*Inputs!$B$16</f>
        <v>-0</v>
      </c>
      <c r="AP40" s="41" t="n">
        <f aca="false">-AP31*Inputs!$B$13*Inputs!$B$16</f>
        <v>-0</v>
      </c>
      <c r="AQ40" s="41" t="n">
        <f aca="false">-AQ31*Inputs!$B$13*Inputs!$B$16</f>
        <v>-0</v>
      </c>
      <c r="AR40" s="41" t="n">
        <f aca="false">-AR31*Inputs!$B$13*Inputs!$B$16</f>
        <v>-0</v>
      </c>
      <c r="AS40" s="41" t="n">
        <f aca="false">-AS31*Inputs!$B$13*Inputs!$B$16</f>
        <v>-0</v>
      </c>
      <c r="AT40" s="41" t="n">
        <f aca="false">-AT31*Inputs!$B$13*Inputs!$B$16</f>
        <v>-0</v>
      </c>
      <c r="AU40" s="41" t="n">
        <f aca="false">-AU31*Inputs!$B$13*Inputs!$B$16</f>
        <v>-0</v>
      </c>
      <c r="AV40" s="41" t="n">
        <f aca="false">-AV31*Inputs!$B$13*Inputs!$B$16</f>
        <v>-0</v>
      </c>
      <c r="AW40" s="41" t="n">
        <f aca="false">-AW31*Inputs!$B$13*Inputs!$B$16</f>
        <v>-0</v>
      </c>
      <c r="AX40" s="41" t="n">
        <f aca="false">-AX31*Inputs!$B$13*Inputs!$B$16</f>
        <v>-0</v>
      </c>
      <c r="AY40" s="41" t="n">
        <f aca="false">-AY31*Inputs!$B$13*Inputs!$B$16</f>
        <v>-0</v>
      </c>
      <c r="AZ40" s="41" t="n">
        <f aca="false">-AZ31*Inputs!$B$13*Inputs!$B$16</f>
        <v>-0</v>
      </c>
    </row>
    <row r="41" customFormat="false" ht="15" hidden="false" customHeight="true" outlineLevel="0" collapsed="false">
      <c r="A41" s="13" t="s">
        <v>601</v>
      </c>
      <c r="C41" s="41" t="n">
        <f aca="false">SUM(D41:AZ41)</f>
        <v>-109.274129557671</v>
      </c>
      <c r="D41" s="41" t="n">
        <f aca="false">-D31*Inputs!$B$169</f>
        <v>-0</v>
      </c>
      <c r="E41" s="41" t="n">
        <f aca="false">-E31*Inputs!$B$169</f>
        <v>-0</v>
      </c>
      <c r="F41" s="41" t="n">
        <f aca="false">-F31*Inputs!$B$169</f>
        <v>-0.184696832772056</v>
      </c>
      <c r="G41" s="41" t="n">
        <f aca="false">-G31*Inputs!$B$169</f>
        <v>-0.738787331088225</v>
      </c>
      <c r="H41" s="41" t="n">
        <f aca="false">-H31*Inputs!$B$169</f>
        <v>-0.963874565633208</v>
      </c>
      <c r="I41" s="41" t="n">
        <f aca="false">-I31*Inputs!$B$169</f>
        <v>-1.17337011925352</v>
      </c>
      <c r="J41" s="41" t="n">
        <f aca="false">-J31*Inputs!$B$169</f>
        <v>-1.17337011925352</v>
      </c>
      <c r="K41" s="41" t="n">
        <f aca="false">-K31*Inputs!$B$169</f>
        <v>-1.17337011925352</v>
      </c>
      <c r="L41" s="41" t="n">
        <f aca="false">-L31*Inputs!$B$169</f>
        <v>-1.29070713117888</v>
      </c>
      <c r="M41" s="41" t="n">
        <f aca="false">-M31*Inputs!$B$169</f>
        <v>-1.29070713117888</v>
      </c>
      <c r="N41" s="41" t="n">
        <f aca="false">-N31*Inputs!$B$169</f>
        <v>-1.29070713117888</v>
      </c>
      <c r="O41" s="41" t="n">
        <f aca="false">-O31*Inputs!$B$169</f>
        <v>-1.41977784429676</v>
      </c>
      <c r="P41" s="41" t="n">
        <f aca="false">-P31*Inputs!$B$169</f>
        <v>-1.41977784429676</v>
      </c>
      <c r="Q41" s="41" t="n">
        <f aca="false">-Q31*Inputs!$B$169</f>
        <v>-1.41977784429676</v>
      </c>
      <c r="R41" s="41" t="n">
        <f aca="false">-R31*Inputs!$B$169</f>
        <v>-1.56175562872644</v>
      </c>
      <c r="S41" s="41" t="n">
        <f aca="false">-S31*Inputs!$B$169</f>
        <v>-1.56175562872644</v>
      </c>
      <c r="T41" s="41" t="n">
        <f aca="false">-T31*Inputs!$B$169</f>
        <v>-1.56175562872644</v>
      </c>
      <c r="U41" s="41" t="n">
        <f aca="false">-U31*Inputs!$B$169</f>
        <v>-1.71793119159909</v>
      </c>
      <c r="V41" s="41" t="n">
        <f aca="false">-V31*Inputs!$B$169</f>
        <v>-1.71793119159909</v>
      </c>
      <c r="W41" s="41" t="n">
        <f aca="false">-W31*Inputs!$B$169</f>
        <v>-1.71793119159909</v>
      </c>
      <c r="X41" s="41" t="n">
        <f aca="false">-X31*Inputs!$B$169</f>
        <v>-1.88972431075899</v>
      </c>
      <c r="Y41" s="41" t="n">
        <f aca="false">-Y31*Inputs!$B$169</f>
        <v>-1.88972431075899</v>
      </c>
      <c r="Z41" s="41" t="n">
        <f aca="false">-Z31*Inputs!$B$169</f>
        <v>-1.88972431075899</v>
      </c>
      <c r="AA41" s="41" t="n">
        <f aca="false">-AA31*Inputs!$B$169</f>
        <v>-2.07869674183489</v>
      </c>
      <c r="AB41" s="41" t="n">
        <f aca="false">-AB31*Inputs!$B$169</f>
        <v>-2.07869674183489</v>
      </c>
      <c r="AC41" s="41" t="n">
        <f aca="false">-AC31*Inputs!$B$169</f>
        <v>-2.07869674183489</v>
      </c>
      <c r="AD41" s="41" t="n">
        <f aca="false">-AD31*Inputs!$B$169</f>
        <v>-2.28656641601838</v>
      </c>
      <c r="AE41" s="41" t="n">
        <f aca="false">-AE31*Inputs!$B$169</f>
        <v>-2.28656641601838</v>
      </c>
      <c r="AF41" s="41" t="n">
        <f aca="false">-AF31*Inputs!$B$169</f>
        <v>-2.28656641601838</v>
      </c>
      <c r="AG41" s="41" t="n">
        <f aca="false">-AG31*Inputs!$B$169</f>
        <v>-2.51522305762022</v>
      </c>
      <c r="AH41" s="41" t="n">
        <f aca="false">-AH31*Inputs!$B$169</f>
        <v>-2.51522305762022</v>
      </c>
      <c r="AI41" s="41" t="n">
        <f aca="false">-AI31*Inputs!$B$169</f>
        <v>-2.51522305762022</v>
      </c>
      <c r="AJ41" s="41" t="n">
        <f aca="false">-AJ31*Inputs!$B$169</f>
        <v>-2.76674536338224</v>
      </c>
      <c r="AK41" s="41" t="n">
        <f aca="false">-AK31*Inputs!$B$169</f>
        <v>-2.76674536338224</v>
      </c>
      <c r="AL41" s="41" t="n">
        <f aca="false">-AL31*Inputs!$B$169</f>
        <v>-2.76674536338224</v>
      </c>
      <c r="AM41" s="41" t="n">
        <f aca="false">-AM31*Inputs!$B$169</f>
        <v>-3.04341989972047</v>
      </c>
      <c r="AN41" s="41" t="n">
        <f aca="false">-AN31*Inputs!$B$169</f>
        <v>-3.04341989972047</v>
      </c>
      <c r="AO41" s="41" t="n">
        <f aca="false">-AO31*Inputs!$B$169</f>
        <v>-3.04341989972047</v>
      </c>
      <c r="AP41" s="41" t="n">
        <f aca="false">-AP31*Inputs!$B$169</f>
        <v>-3.34776188969252</v>
      </c>
      <c r="AQ41" s="41" t="n">
        <f aca="false">-AQ31*Inputs!$B$169</f>
        <v>-3.34776188969252</v>
      </c>
      <c r="AR41" s="41" t="n">
        <f aca="false">-AR31*Inputs!$B$169</f>
        <v>-3.34776188969252</v>
      </c>
      <c r="AS41" s="41" t="n">
        <f aca="false">-AS31*Inputs!$B$169</f>
        <v>-3.68253807866177</v>
      </c>
      <c r="AT41" s="41" t="n">
        <f aca="false">-AT31*Inputs!$B$169</f>
        <v>-3.68253807866177</v>
      </c>
      <c r="AU41" s="41" t="n">
        <f aca="false">-AU31*Inputs!$B$169</f>
        <v>-3.68253807866177</v>
      </c>
      <c r="AV41" s="41" t="n">
        <f aca="false">-AV31*Inputs!$B$169</f>
        <v>-4.05079188652795</v>
      </c>
      <c r="AW41" s="41" t="n">
        <f aca="false">-AW31*Inputs!$B$169</f>
        <v>-4.05079188652795</v>
      </c>
      <c r="AX41" s="41" t="n">
        <f aca="false">-AX31*Inputs!$B$169</f>
        <v>-4.05079188652795</v>
      </c>
      <c r="AY41" s="41" t="n">
        <f aca="false">-AY31*Inputs!$B$169</f>
        <v>-4.45587107518074</v>
      </c>
      <c r="AZ41" s="41" t="n">
        <f aca="false">-AZ31*Inputs!$B$169</f>
        <v>-4.45587107518074</v>
      </c>
    </row>
    <row r="42" customFormat="false" ht="15" hidden="false" customHeight="true" outlineLevel="0" collapsed="false">
      <c r="A42" s="13" t="s">
        <v>602</v>
      </c>
      <c r="C42" s="41" t="n">
        <f aca="false">SUM(D42:AZ42)</f>
        <v>-35.5244610788163</v>
      </c>
      <c r="D42" s="41" t="n">
        <f aca="false">-Inputs!$B$167*MAX(0,MIN(1,2026+1-Inputs!$B$168))*(Inputs!$B$22/MAX(0.0001,Inputs!$B$20+Inputs!$B$21+Inputs!$B$22))</f>
        <v>-0</v>
      </c>
      <c r="E42" s="41" t="n">
        <f aca="false">-Inputs!$B$167*MAX(0,MIN(1,2027+1-Inputs!$B$168))*(Inputs!$B$22/MAX(0.0001,Inputs!$B$20+Inputs!$B$21+Inputs!$B$22))</f>
        <v>-0</v>
      </c>
      <c r="F42" s="41" t="n">
        <f aca="false">-Inputs!$B$167*MAX(0,MIN(1,2028+1-Inputs!$B$168))*(Inputs!$B$22/MAX(0.0001,Inputs!$B$20+Inputs!$B$21+Inputs!$B$22))</f>
        <v>-0.569911140301865</v>
      </c>
      <c r="G42" s="41" t="n">
        <f aca="false">-Inputs!$B$167*MAX(0,MIN(1,2029+1-Inputs!$B$168))*(Inputs!$B$22/MAX(0.0001,Inputs!$B$20+Inputs!$B$21+Inputs!$B$22))</f>
        <v>-0.759881520402487</v>
      </c>
      <c r="H42" s="41" t="n">
        <f aca="false">-Inputs!$B$167*MAX(0,MIN(1,2030+1-Inputs!$B$168))*(Inputs!$B$22/MAX(0.0001,Inputs!$B$20+Inputs!$B$21+Inputs!$B$22))</f>
        <v>-0.759881520402487</v>
      </c>
      <c r="I42" s="41" t="n">
        <f aca="false">-Inputs!$B$167*MAX(0,MIN(1,2031+1-Inputs!$B$168))*(Inputs!$B$22/MAX(0.0001,Inputs!$B$20+Inputs!$B$21+Inputs!$B$22))</f>
        <v>-0.759881520402487</v>
      </c>
      <c r="J42" s="41" t="n">
        <f aca="false">-Inputs!$B$167*MAX(0,MIN(1,2032+1-Inputs!$B$168))*(Inputs!$B$22/MAX(0.0001,Inputs!$B$20+Inputs!$B$21+Inputs!$B$22))</f>
        <v>-0.759881520402487</v>
      </c>
      <c r="K42" s="41" t="n">
        <f aca="false">-Inputs!$B$167*MAX(0,MIN(1,2033+1-Inputs!$B$168))*(Inputs!$B$22/MAX(0.0001,Inputs!$B$20+Inputs!$B$21+Inputs!$B$22))</f>
        <v>-0.759881520402487</v>
      </c>
      <c r="L42" s="41" t="n">
        <f aca="false">-Inputs!$B$167*MAX(0,MIN(1,2034+1-Inputs!$B$168))*(Inputs!$B$22/MAX(0.0001,Inputs!$B$20+Inputs!$B$21+Inputs!$B$22))</f>
        <v>-0.759881520402487</v>
      </c>
      <c r="M42" s="41" t="n">
        <f aca="false">-Inputs!$B$167*MAX(0,MIN(1,2035+1-Inputs!$B$168))*(Inputs!$B$22/MAX(0.0001,Inputs!$B$20+Inputs!$B$21+Inputs!$B$22))</f>
        <v>-0.759881520402487</v>
      </c>
      <c r="N42" s="41" t="n">
        <f aca="false">-Inputs!$B$167*MAX(0,MIN(1,2036+1-Inputs!$B$168))*(Inputs!$B$22/MAX(0.0001,Inputs!$B$20+Inputs!$B$21+Inputs!$B$22))</f>
        <v>-0.759881520402487</v>
      </c>
      <c r="O42" s="41" t="n">
        <f aca="false">-Inputs!$B$167*MAX(0,MIN(1,2037+1-Inputs!$B$168))*(Inputs!$B$22/MAX(0.0001,Inputs!$B$20+Inputs!$B$21+Inputs!$B$22))</f>
        <v>-0.759881520402487</v>
      </c>
      <c r="P42" s="41" t="n">
        <f aca="false">-Inputs!$B$167*MAX(0,MIN(1,2038+1-Inputs!$B$168))*(Inputs!$B$22/MAX(0.0001,Inputs!$B$20+Inputs!$B$21+Inputs!$B$22))</f>
        <v>-0.759881520402487</v>
      </c>
      <c r="Q42" s="41" t="n">
        <f aca="false">-Inputs!$B$167*MAX(0,MIN(1,2039+1-Inputs!$B$168))*(Inputs!$B$22/MAX(0.0001,Inputs!$B$20+Inputs!$B$21+Inputs!$B$22))</f>
        <v>-0.759881520402487</v>
      </c>
      <c r="R42" s="41" t="n">
        <f aca="false">-Inputs!$B$167*MAX(0,MIN(1,2040+1-Inputs!$B$168))*(Inputs!$B$22/MAX(0.0001,Inputs!$B$20+Inputs!$B$21+Inputs!$B$22))</f>
        <v>-0.759881520402487</v>
      </c>
      <c r="S42" s="41" t="n">
        <f aca="false">-Inputs!$B$167*MAX(0,MIN(1,2041+1-Inputs!$B$168))*(Inputs!$B$22/MAX(0.0001,Inputs!$B$20+Inputs!$B$21+Inputs!$B$22))</f>
        <v>-0.759881520402487</v>
      </c>
      <c r="T42" s="41" t="n">
        <f aca="false">-Inputs!$B$167*MAX(0,MIN(1,2042+1-Inputs!$B$168))*(Inputs!$B$22/MAX(0.0001,Inputs!$B$20+Inputs!$B$21+Inputs!$B$22))</f>
        <v>-0.759881520402487</v>
      </c>
      <c r="U42" s="41" t="n">
        <f aca="false">-Inputs!$B$167*MAX(0,MIN(1,2043+1-Inputs!$B$168))*(Inputs!$B$22/MAX(0.0001,Inputs!$B$20+Inputs!$B$21+Inputs!$B$22))</f>
        <v>-0.759881520402487</v>
      </c>
      <c r="V42" s="41" t="n">
        <f aca="false">-Inputs!$B$167*MAX(0,MIN(1,2044+1-Inputs!$B$168))*(Inputs!$B$22/MAX(0.0001,Inputs!$B$20+Inputs!$B$21+Inputs!$B$22))</f>
        <v>-0.759881520402487</v>
      </c>
      <c r="W42" s="41" t="n">
        <f aca="false">-Inputs!$B$167*MAX(0,MIN(1,2045+1-Inputs!$B$168))*(Inputs!$B$22/MAX(0.0001,Inputs!$B$20+Inputs!$B$21+Inputs!$B$22))</f>
        <v>-0.759881520402487</v>
      </c>
      <c r="X42" s="41" t="n">
        <f aca="false">-Inputs!$B$167*MAX(0,MIN(1,2046+1-Inputs!$B$168))*(Inputs!$B$22/MAX(0.0001,Inputs!$B$20+Inputs!$B$21+Inputs!$B$22))</f>
        <v>-0.759881520402487</v>
      </c>
      <c r="Y42" s="41" t="n">
        <f aca="false">-Inputs!$B$167*MAX(0,MIN(1,2047+1-Inputs!$B$168))*(Inputs!$B$22/MAX(0.0001,Inputs!$B$20+Inputs!$B$21+Inputs!$B$22))</f>
        <v>-0.759881520402487</v>
      </c>
      <c r="Z42" s="41" t="n">
        <f aca="false">-Inputs!$B$167*MAX(0,MIN(1,2048+1-Inputs!$B$168))*(Inputs!$B$22/MAX(0.0001,Inputs!$B$20+Inputs!$B$21+Inputs!$B$22))</f>
        <v>-0.759881520402487</v>
      </c>
      <c r="AA42" s="41" t="n">
        <f aca="false">-Inputs!$B$167*MAX(0,MIN(1,2049+1-Inputs!$B$168))*(Inputs!$B$22/MAX(0.0001,Inputs!$B$20+Inputs!$B$21+Inputs!$B$22))</f>
        <v>-0.759881520402487</v>
      </c>
      <c r="AB42" s="41" t="n">
        <f aca="false">-Inputs!$B$167*MAX(0,MIN(1,2050+1-Inputs!$B$168))*(Inputs!$B$22/MAX(0.0001,Inputs!$B$20+Inputs!$B$21+Inputs!$B$22))</f>
        <v>-0.759881520402487</v>
      </c>
      <c r="AC42" s="41" t="n">
        <f aca="false">-Inputs!$B$167*MAX(0,MIN(1,2051+1-Inputs!$B$168))*(Inputs!$B$22/MAX(0.0001,Inputs!$B$20+Inputs!$B$21+Inputs!$B$22))</f>
        <v>-0.759881520402487</v>
      </c>
      <c r="AD42" s="41" t="n">
        <f aca="false">-Inputs!$B$167*MAX(0,MIN(1,2052+1-Inputs!$B$168))*(Inputs!$B$22/MAX(0.0001,Inputs!$B$20+Inputs!$B$21+Inputs!$B$22))</f>
        <v>-0.759881520402487</v>
      </c>
      <c r="AE42" s="41" t="n">
        <f aca="false">-Inputs!$B$167*MAX(0,MIN(1,2053+1-Inputs!$B$168))*(Inputs!$B$22/MAX(0.0001,Inputs!$B$20+Inputs!$B$21+Inputs!$B$22))</f>
        <v>-0.759881520402487</v>
      </c>
      <c r="AF42" s="41" t="n">
        <f aca="false">-Inputs!$B$167*MAX(0,MIN(1,2054+1-Inputs!$B$168))*(Inputs!$B$22/MAX(0.0001,Inputs!$B$20+Inputs!$B$21+Inputs!$B$22))</f>
        <v>-0.759881520402487</v>
      </c>
      <c r="AG42" s="41" t="n">
        <f aca="false">-Inputs!$B$167*MAX(0,MIN(1,2055+1-Inputs!$B$168))*(Inputs!$B$22/MAX(0.0001,Inputs!$B$20+Inputs!$B$21+Inputs!$B$22))</f>
        <v>-0.759881520402487</v>
      </c>
      <c r="AH42" s="41" t="n">
        <f aca="false">-Inputs!$B$167*MAX(0,MIN(1,2056+1-Inputs!$B$168))*(Inputs!$B$22/MAX(0.0001,Inputs!$B$20+Inputs!$B$21+Inputs!$B$22))</f>
        <v>-0.759881520402487</v>
      </c>
      <c r="AI42" s="41" t="n">
        <f aca="false">-Inputs!$B$167*MAX(0,MIN(1,2057+1-Inputs!$B$168))*(Inputs!$B$22/MAX(0.0001,Inputs!$B$20+Inputs!$B$21+Inputs!$B$22))</f>
        <v>-0.759881520402487</v>
      </c>
      <c r="AJ42" s="41" t="n">
        <f aca="false">-Inputs!$B$167*MAX(0,MIN(1,2058+1-Inputs!$B$168))*(Inputs!$B$22/MAX(0.0001,Inputs!$B$20+Inputs!$B$21+Inputs!$B$22))</f>
        <v>-0.759881520402487</v>
      </c>
      <c r="AK42" s="41" t="n">
        <f aca="false">-Inputs!$B$167*MAX(0,MIN(1,2059+1-Inputs!$B$168))*(Inputs!$B$22/MAX(0.0001,Inputs!$B$20+Inputs!$B$21+Inputs!$B$22))</f>
        <v>-0.759881520402487</v>
      </c>
      <c r="AL42" s="41" t="n">
        <f aca="false">-Inputs!$B$167*MAX(0,MIN(1,2060+1-Inputs!$B$168))*(Inputs!$B$22/MAX(0.0001,Inputs!$B$20+Inputs!$B$21+Inputs!$B$22))</f>
        <v>-0.759881520402487</v>
      </c>
      <c r="AM42" s="41" t="n">
        <f aca="false">-Inputs!$B$167*MAX(0,MIN(1,2061+1-Inputs!$B$168))*(Inputs!$B$22/MAX(0.0001,Inputs!$B$20+Inputs!$B$21+Inputs!$B$22))</f>
        <v>-0.759881520402487</v>
      </c>
      <c r="AN42" s="41" t="n">
        <f aca="false">-Inputs!$B$167*MAX(0,MIN(1,2062+1-Inputs!$B$168))*(Inputs!$B$22/MAX(0.0001,Inputs!$B$20+Inputs!$B$21+Inputs!$B$22))</f>
        <v>-0.759881520402487</v>
      </c>
      <c r="AO42" s="41" t="n">
        <f aca="false">-Inputs!$B$167*MAX(0,MIN(1,2063+1-Inputs!$B$168))*(Inputs!$B$22/MAX(0.0001,Inputs!$B$20+Inputs!$B$21+Inputs!$B$22))</f>
        <v>-0.759881520402487</v>
      </c>
      <c r="AP42" s="41" t="n">
        <f aca="false">-Inputs!$B$167*MAX(0,MIN(1,2064+1-Inputs!$B$168))*(Inputs!$B$22/MAX(0.0001,Inputs!$B$20+Inputs!$B$21+Inputs!$B$22))</f>
        <v>-0.759881520402487</v>
      </c>
      <c r="AQ42" s="41" t="n">
        <f aca="false">-Inputs!$B$167*MAX(0,MIN(1,2065+1-Inputs!$B$168))*(Inputs!$B$22/MAX(0.0001,Inputs!$B$20+Inputs!$B$21+Inputs!$B$22))</f>
        <v>-0.759881520402487</v>
      </c>
      <c r="AR42" s="41" t="n">
        <f aca="false">-Inputs!$B$167*MAX(0,MIN(1,2066+1-Inputs!$B$168))*(Inputs!$B$22/MAX(0.0001,Inputs!$B$20+Inputs!$B$21+Inputs!$B$22))</f>
        <v>-0.759881520402487</v>
      </c>
      <c r="AS42" s="41" t="n">
        <f aca="false">-Inputs!$B$167*MAX(0,MIN(1,2067+1-Inputs!$B$168))*(Inputs!$B$22/MAX(0.0001,Inputs!$B$20+Inputs!$B$21+Inputs!$B$22))</f>
        <v>-0.759881520402487</v>
      </c>
      <c r="AT42" s="41" t="n">
        <f aca="false">-Inputs!$B$167*MAX(0,MIN(1,2068+1-Inputs!$B$168))*(Inputs!$B$22/MAX(0.0001,Inputs!$B$20+Inputs!$B$21+Inputs!$B$22))</f>
        <v>-0.759881520402487</v>
      </c>
      <c r="AU42" s="41" t="n">
        <f aca="false">-Inputs!$B$167*MAX(0,MIN(1,2069+1-Inputs!$B$168))*(Inputs!$B$22/MAX(0.0001,Inputs!$B$20+Inputs!$B$21+Inputs!$B$22))</f>
        <v>-0.759881520402487</v>
      </c>
      <c r="AV42" s="41" t="n">
        <f aca="false">-Inputs!$B$167*MAX(0,MIN(1,2070+1-Inputs!$B$168))*(Inputs!$B$22/MAX(0.0001,Inputs!$B$20+Inputs!$B$21+Inputs!$B$22))</f>
        <v>-0.759881520402487</v>
      </c>
      <c r="AW42" s="41" t="n">
        <f aca="false">-Inputs!$B$167*MAX(0,MIN(1,2071+1-Inputs!$B$168))*(Inputs!$B$22/MAX(0.0001,Inputs!$B$20+Inputs!$B$21+Inputs!$B$22))</f>
        <v>-0.759881520402487</v>
      </c>
      <c r="AX42" s="41" t="n">
        <f aca="false">-Inputs!$B$167*MAX(0,MIN(1,2072+1-Inputs!$B$168))*(Inputs!$B$22/MAX(0.0001,Inputs!$B$20+Inputs!$B$21+Inputs!$B$22))</f>
        <v>-0.759881520402487</v>
      </c>
      <c r="AY42" s="41" t="n">
        <f aca="false">-Inputs!$B$167*MAX(0,MIN(1,2073+1-Inputs!$B$168))*(Inputs!$B$22/MAX(0.0001,Inputs!$B$20+Inputs!$B$21+Inputs!$B$22))</f>
        <v>-0.759881520402487</v>
      </c>
      <c r="AZ42" s="41" t="n">
        <f aca="false">-Inputs!$B$167*MAX(0,MIN(1,2074+1-Inputs!$B$168))*(Inputs!$B$22/MAX(0.0001,Inputs!$B$20+Inputs!$B$21+Inputs!$B$22))</f>
        <v>-0.759881520402487</v>
      </c>
    </row>
    <row r="43" customFormat="false" ht="15" hidden="false" customHeight="true" outlineLevel="0" collapsed="false">
      <c r="A43" s="13" t="s">
        <v>603</v>
      </c>
      <c r="C43" s="41" t="n">
        <f aca="false">SUM(D43:AZ43)</f>
        <v>-318.770625949553</v>
      </c>
      <c r="D43" s="41" t="n">
        <f aca="false">-(Inputs!$B$163+Inputs!$B$164)*IF(2026&lt;2028+Inputs!$B$9,0,IF(2026=2028+Inputs!$B$9,Inputs!$B$165,1))*(1+Inputs!$B$166)^(2026-2028-Inputs!$B$9)*(Inputs!$B$22/MAX(0.0001,Inputs!$B$20+Inputs!$B$21+Inputs!$B$22))</f>
        <v>-0</v>
      </c>
      <c r="E43" s="41" t="n">
        <f aca="false">-(Inputs!$B$163+Inputs!$B$164)*IF(2027&lt;2028+Inputs!$B$9,0,IF(2027=2028+Inputs!$B$9,Inputs!$B$165,1))*(1+Inputs!$B$166)^(2027-2028-Inputs!$B$9)*(Inputs!$B$22/MAX(0.0001,Inputs!$B$20+Inputs!$B$21+Inputs!$B$22))</f>
        <v>-0</v>
      </c>
      <c r="F43" s="41" t="n">
        <f aca="false">-(Inputs!$B$163+Inputs!$B$164)*IF(2028&lt;2028+Inputs!$B$9,0,IF(2028=2028+Inputs!$B$9,Inputs!$B$165,1))*(1+Inputs!$B$166)^(2028-2028-Inputs!$B$9)*(Inputs!$B$22/MAX(0.0001,Inputs!$B$20+Inputs!$B$21+Inputs!$B$22))</f>
        <v>-1.82848663168466</v>
      </c>
      <c r="G43" s="41" t="n">
        <f aca="false">-(Inputs!$B$163+Inputs!$B$164)*IF(2029&lt;2028+Inputs!$B$9,0,IF(2029=2028+Inputs!$B$9,Inputs!$B$165,1))*(1+Inputs!$B$166)^(2029-2028-Inputs!$B$9)*(Inputs!$B$22/MAX(0.0001,Inputs!$B$20+Inputs!$B$21+Inputs!$B$22))</f>
        <v>-3.74839759495356</v>
      </c>
      <c r="H43" s="41" t="n">
        <f aca="false">-(Inputs!$B$163+Inputs!$B$164)*IF(2030&lt;2028+Inputs!$B$9,0,IF(2030=2028+Inputs!$B$9,Inputs!$B$165,1))*(1+Inputs!$B$166)^(2030-2028-Inputs!$B$9)*(Inputs!$B$22/MAX(0.0001,Inputs!$B$20+Inputs!$B$21+Inputs!$B$22))</f>
        <v>-3.8421075348274</v>
      </c>
      <c r="I43" s="41" t="n">
        <f aca="false">-(Inputs!$B$163+Inputs!$B$164)*IF(2031&lt;2028+Inputs!$B$9,0,IF(2031=2028+Inputs!$B$9,Inputs!$B$165,1))*(1+Inputs!$B$166)^(2031-2028-Inputs!$B$9)*(Inputs!$B$22/MAX(0.0001,Inputs!$B$20+Inputs!$B$21+Inputs!$B$22))</f>
        <v>-3.93816022319808</v>
      </c>
      <c r="J43" s="41" t="n">
        <f aca="false">-(Inputs!$B$163+Inputs!$B$164)*IF(2032&lt;2028+Inputs!$B$9,0,IF(2032=2028+Inputs!$B$9,Inputs!$B$165,1))*(1+Inputs!$B$166)^(2032-2028-Inputs!$B$9)*(Inputs!$B$22/MAX(0.0001,Inputs!$B$20+Inputs!$B$21+Inputs!$B$22))</f>
        <v>-4.03661422877803</v>
      </c>
      <c r="K43" s="41" t="n">
        <f aca="false">-(Inputs!$B$163+Inputs!$B$164)*IF(2033&lt;2028+Inputs!$B$9,0,IF(2033=2028+Inputs!$B$9,Inputs!$B$165,1))*(1+Inputs!$B$166)^(2033-2028-Inputs!$B$9)*(Inputs!$B$22/MAX(0.0001,Inputs!$B$20+Inputs!$B$21+Inputs!$B$22))</f>
        <v>-4.13752958449749</v>
      </c>
      <c r="L43" s="41" t="n">
        <f aca="false">-(Inputs!$B$163+Inputs!$B$164)*IF(2034&lt;2028+Inputs!$B$9,0,IF(2034=2028+Inputs!$B$9,Inputs!$B$165,1))*(1+Inputs!$B$166)^(2034-2028-Inputs!$B$9)*(Inputs!$B$22/MAX(0.0001,Inputs!$B$20+Inputs!$B$21+Inputs!$B$22))</f>
        <v>-4.24096782410992</v>
      </c>
      <c r="M43" s="41" t="n">
        <f aca="false">-(Inputs!$B$163+Inputs!$B$164)*IF(2035&lt;2028+Inputs!$B$9,0,IF(2035=2028+Inputs!$B$9,Inputs!$B$165,1))*(1+Inputs!$B$166)^(2035-2028-Inputs!$B$9)*(Inputs!$B$22/MAX(0.0001,Inputs!$B$20+Inputs!$B$21+Inputs!$B$22))</f>
        <v>-4.34699201971267</v>
      </c>
      <c r="N43" s="41" t="n">
        <f aca="false">-(Inputs!$B$163+Inputs!$B$164)*IF(2036&lt;2028+Inputs!$B$9,0,IF(2036=2028+Inputs!$B$9,Inputs!$B$165,1))*(1+Inputs!$B$166)^(2036-2028-Inputs!$B$9)*(Inputs!$B$22/MAX(0.0001,Inputs!$B$20+Inputs!$B$21+Inputs!$B$22))</f>
        <v>-4.45566682020549</v>
      </c>
      <c r="O43" s="41" t="n">
        <f aca="false">-(Inputs!$B$163+Inputs!$B$164)*IF(2037&lt;2028+Inputs!$B$9,0,IF(2037=2028+Inputs!$B$9,Inputs!$B$165,1))*(1+Inputs!$B$166)^(2037-2028-Inputs!$B$9)*(Inputs!$B$22/MAX(0.0001,Inputs!$B$20+Inputs!$B$21+Inputs!$B$22))</f>
        <v>-4.56705849071062</v>
      </c>
      <c r="P43" s="41" t="n">
        <f aca="false">-(Inputs!$B$163+Inputs!$B$164)*IF(2038&lt;2028+Inputs!$B$9,0,IF(2038=2028+Inputs!$B$9,Inputs!$B$165,1))*(1+Inputs!$B$166)^(2038-2028-Inputs!$B$9)*(Inputs!$B$22/MAX(0.0001,Inputs!$B$20+Inputs!$B$21+Inputs!$B$22))</f>
        <v>-4.68123495297839</v>
      </c>
      <c r="Q43" s="41" t="n">
        <f aca="false">-(Inputs!$B$163+Inputs!$B$164)*IF(2039&lt;2028+Inputs!$B$9,0,IF(2039=2028+Inputs!$B$9,Inputs!$B$165,1))*(1+Inputs!$B$166)^(2039-2028-Inputs!$B$9)*(Inputs!$B$22/MAX(0.0001,Inputs!$B$20+Inputs!$B$21+Inputs!$B$22))</f>
        <v>-4.79826582680285</v>
      </c>
      <c r="R43" s="41" t="n">
        <f aca="false">-(Inputs!$B$163+Inputs!$B$164)*IF(2040&lt;2028+Inputs!$B$9,0,IF(2040=2028+Inputs!$B$9,Inputs!$B$165,1))*(1+Inputs!$B$166)^(2040-2028-Inputs!$B$9)*(Inputs!$B$22/MAX(0.0001,Inputs!$B$20+Inputs!$B$21+Inputs!$B$22))</f>
        <v>-4.91822247247292</v>
      </c>
      <c r="S43" s="41" t="n">
        <f aca="false">-(Inputs!$B$163+Inputs!$B$164)*IF(2041&lt;2028+Inputs!$B$9,0,IF(2041=2028+Inputs!$B$9,Inputs!$B$165,1))*(1+Inputs!$B$166)^(2041-2028-Inputs!$B$9)*(Inputs!$B$22/MAX(0.0001,Inputs!$B$20+Inputs!$B$21+Inputs!$B$22))</f>
        <v>-5.04117803428474</v>
      </c>
      <c r="T43" s="41" t="n">
        <f aca="false">-(Inputs!$B$163+Inputs!$B$164)*IF(2042&lt;2028+Inputs!$B$9,0,IF(2042=2028+Inputs!$B$9,Inputs!$B$165,1))*(1+Inputs!$B$166)^(2042-2028-Inputs!$B$9)*(Inputs!$B$22/MAX(0.0001,Inputs!$B$20+Inputs!$B$21+Inputs!$B$22))</f>
        <v>-5.16720748514186</v>
      </c>
      <c r="U43" s="41" t="n">
        <f aca="false">-(Inputs!$B$163+Inputs!$B$164)*IF(2043&lt;2028+Inputs!$B$9,0,IF(2043=2028+Inputs!$B$9,Inputs!$B$165,1))*(1+Inputs!$B$166)^(2043-2028-Inputs!$B$9)*(Inputs!$B$22/MAX(0.0001,Inputs!$B$20+Inputs!$B$21+Inputs!$B$22))</f>
        <v>-5.29638767227041</v>
      </c>
      <c r="V43" s="41" t="n">
        <f aca="false">-(Inputs!$B$163+Inputs!$B$164)*IF(2044&lt;2028+Inputs!$B$9,0,IF(2044=2028+Inputs!$B$9,Inputs!$B$165,1))*(1+Inputs!$B$166)^(2044-2028-Inputs!$B$9)*(Inputs!$B$22/MAX(0.0001,Inputs!$B$20+Inputs!$B$21+Inputs!$B$22))</f>
        <v>-5.42879736407716</v>
      </c>
      <c r="W43" s="41" t="n">
        <f aca="false">-(Inputs!$B$163+Inputs!$B$164)*IF(2045&lt;2028+Inputs!$B$9,0,IF(2045=2028+Inputs!$B$9,Inputs!$B$165,1))*(1+Inputs!$B$166)^(2045-2028-Inputs!$B$9)*(Inputs!$B$22/MAX(0.0001,Inputs!$B$20+Inputs!$B$21+Inputs!$B$22))</f>
        <v>-5.56451729817909</v>
      </c>
      <c r="X43" s="41" t="n">
        <f aca="false">-(Inputs!$B$163+Inputs!$B$164)*IF(2046&lt;2028+Inputs!$B$9,0,IF(2046=2028+Inputs!$B$9,Inputs!$B$165,1))*(1+Inputs!$B$166)^(2046-2028-Inputs!$B$9)*(Inputs!$B$22/MAX(0.0001,Inputs!$B$20+Inputs!$B$21+Inputs!$B$22))</f>
        <v>-5.70363023063357</v>
      </c>
      <c r="Y43" s="41" t="n">
        <f aca="false">-(Inputs!$B$163+Inputs!$B$164)*IF(2047&lt;2028+Inputs!$B$9,0,IF(2047=2028+Inputs!$B$9,Inputs!$B$165,1))*(1+Inputs!$B$166)^(2047-2028-Inputs!$B$9)*(Inputs!$B$22/MAX(0.0001,Inputs!$B$20+Inputs!$B$21+Inputs!$B$22))</f>
        <v>-5.84622098639941</v>
      </c>
      <c r="Z43" s="41" t="n">
        <f aca="false">-(Inputs!$B$163+Inputs!$B$164)*IF(2048&lt;2028+Inputs!$B$9,0,IF(2048=2028+Inputs!$B$9,Inputs!$B$165,1))*(1+Inputs!$B$166)^(2048-2028-Inputs!$B$9)*(Inputs!$B$22/MAX(0.0001,Inputs!$B$20+Inputs!$B$21+Inputs!$B$22))</f>
        <v>-5.99237651105939</v>
      </c>
      <c r="AA43" s="41" t="n">
        <f aca="false">-(Inputs!$B$163+Inputs!$B$164)*IF(2049&lt;2028+Inputs!$B$9,0,IF(2049=2028+Inputs!$B$9,Inputs!$B$165,1))*(1+Inputs!$B$166)^(2049-2028-Inputs!$B$9)*(Inputs!$B$22/MAX(0.0001,Inputs!$B$20+Inputs!$B$21+Inputs!$B$22))</f>
        <v>-6.14218592383588</v>
      </c>
      <c r="AB43" s="41" t="n">
        <f aca="false">-(Inputs!$B$163+Inputs!$B$164)*IF(2050&lt;2028+Inputs!$B$9,0,IF(2050=2028+Inputs!$B$9,Inputs!$B$165,1))*(1+Inputs!$B$166)^(2050-2028-Inputs!$B$9)*(Inputs!$B$22/MAX(0.0001,Inputs!$B$20+Inputs!$B$21+Inputs!$B$22))</f>
        <v>-6.29574057193177</v>
      </c>
      <c r="AC43" s="41" t="n">
        <f aca="false">-(Inputs!$B$163+Inputs!$B$164)*IF(2051&lt;2028+Inputs!$B$9,0,IF(2051=2028+Inputs!$B$9,Inputs!$B$165,1))*(1+Inputs!$B$166)^(2051-2028-Inputs!$B$9)*(Inputs!$B$22/MAX(0.0001,Inputs!$B$20+Inputs!$B$21+Inputs!$B$22))</f>
        <v>-6.45313408623007</v>
      </c>
      <c r="AD43" s="41" t="n">
        <f aca="false">-(Inputs!$B$163+Inputs!$B$164)*IF(2052&lt;2028+Inputs!$B$9,0,IF(2052=2028+Inputs!$B$9,Inputs!$B$165,1))*(1+Inputs!$B$166)^(2052-2028-Inputs!$B$9)*(Inputs!$B$22/MAX(0.0001,Inputs!$B$20+Inputs!$B$21+Inputs!$B$22))</f>
        <v>-6.61446243838582</v>
      </c>
      <c r="AE43" s="41" t="n">
        <f aca="false">-(Inputs!$B$163+Inputs!$B$164)*IF(2053&lt;2028+Inputs!$B$9,0,IF(2053=2028+Inputs!$B$9,Inputs!$B$165,1))*(1+Inputs!$B$166)^(2053-2028-Inputs!$B$9)*(Inputs!$B$22/MAX(0.0001,Inputs!$B$20+Inputs!$B$21+Inputs!$B$22))</f>
        <v>-6.77982399934546</v>
      </c>
      <c r="AF43" s="41" t="n">
        <f aca="false">-(Inputs!$B$163+Inputs!$B$164)*IF(2054&lt;2028+Inputs!$B$9,0,IF(2054=2028+Inputs!$B$9,Inputs!$B$165,1))*(1+Inputs!$B$166)^(2054-2028-Inputs!$B$9)*(Inputs!$B$22/MAX(0.0001,Inputs!$B$20+Inputs!$B$21+Inputs!$B$22))</f>
        <v>-6.9493195993291</v>
      </c>
      <c r="AG43" s="41" t="n">
        <f aca="false">-(Inputs!$B$163+Inputs!$B$164)*IF(2055&lt;2028+Inputs!$B$9,0,IF(2055=2028+Inputs!$B$9,Inputs!$B$165,1))*(1+Inputs!$B$166)^(2055-2028-Inputs!$B$9)*(Inputs!$B$22/MAX(0.0001,Inputs!$B$20+Inputs!$B$21+Inputs!$B$22))</f>
        <v>-7.12305258931233</v>
      </c>
      <c r="AH43" s="41" t="n">
        <f aca="false">-(Inputs!$B$163+Inputs!$B$164)*IF(2056&lt;2028+Inputs!$B$9,0,IF(2056=2028+Inputs!$B$9,Inputs!$B$165,1))*(1+Inputs!$B$166)^(2056-2028-Inputs!$B$9)*(Inputs!$B$22/MAX(0.0001,Inputs!$B$20+Inputs!$B$21+Inputs!$B$22))</f>
        <v>-7.30112890404513</v>
      </c>
      <c r="AI43" s="41" t="n">
        <f aca="false">-(Inputs!$B$163+Inputs!$B$164)*IF(2057&lt;2028+Inputs!$B$9,0,IF(2057=2028+Inputs!$B$9,Inputs!$B$165,1))*(1+Inputs!$B$166)^(2057-2028-Inputs!$B$9)*(Inputs!$B$22/MAX(0.0001,Inputs!$B$20+Inputs!$B$21+Inputs!$B$22))</f>
        <v>-7.48365712664626</v>
      </c>
      <c r="AJ43" s="41" t="n">
        <f aca="false">-(Inputs!$B$163+Inputs!$B$164)*IF(2058&lt;2028+Inputs!$B$9,0,IF(2058=2028+Inputs!$B$9,Inputs!$B$165,1))*(1+Inputs!$B$166)^(2058-2028-Inputs!$B$9)*(Inputs!$B$22/MAX(0.0001,Inputs!$B$20+Inputs!$B$21+Inputs!$B$22))</f>
        <v>-7.67074855481242</v>
      </c>
      <c r="AK43" s="41" t="n">
        <f aca="false">-(Inputs!$B$163+Inputs!$B$164)*IF(2059&lt;2028+Inputs!$B$9,0,IF(2059=2028+Inputs!$B$9,Inputs!$B$165,1))*(1+Inputs!$B$166)^(2059-2028-Inputs!$B$9)*(Inputs!$B$22/MAX(0.0001,Inputs!$B$20+Inputs!$B$21+Inputs!$B$22))</f>
        <v>-7.86251726868273</v>
      </c>
      <c r="AL43" s="41" t="n">
        <f aca="false">-(Inputs!$B$163+Inputs!$B$164)*IF(2060&lt;2028+Inputs!$B$9,0,IF(2060=2028+Inputs!$B$9,Inputs!$B$165,1))*(1+Inputs!$B$166)^(2060-2028-Inputs!$B$9)*(Inputs!$B$22/MAX(0.0001,Inputs!$B$20+Inputs!$B$21+Inputs!$B$22))</f>
        <v>-8.05908020039979</v>
      </c>
      <c r="AM43" s="41" t="n">
        <f aca="false">-(Inputs!$B$163+Inputs!$B$164)*IF(2061&lt;2028+Inputs!$B$9,0,IF(2061=2028+Inputs!$B$9,Inputs!$B$165,1))*(1+Inputs!$B$166)^(2061-2028-Inputs!$B$9)*(Inputs!$B$22/MAX(0.0001,Inputs!$B$20+Inputs!$B$21+Inputs!$B$22))</f>
        <v>-8.26055720540979</v>
      </c>
      <c r="AN43" s="41" t="n">
        <f aca="false">-(Inputs!$B$163+Inputs!$B$164)*IF(2062&lt;2028+Inputs!$B$9,0,IF(2062=2028+Inputs!$B$9,Inputs!$B$165,1))*(1+Inputs!$B$166)^(2062-2028-Inputs!$B$9)*(Inputs!$B$22/MAX(0.0001,Inputs!$B$20+Inputs!$B$21+Inputs!$B$22))</f>
        <v>-8.46707113554503</v>
      </c>
      <c r="AO43" s="41" t="n">
        <f aca="false">-(Inputs!$B$163+Inputs!$B$164)*IF(2063&lt;2028+Inputs!$B$9,0,IF(2063=2028+Inputs!$B$9,Inputs!$B$165,1))*(1+Inputs!$B$166)^(2063-2028-Inputs!$B$9)*(Inputs!$B$22/MAX(0.0001,Inputs!$B$20+Inputs!$B$21+Inputs!$B$22))</f>
        <v>-8.67874791393366</v>
      </c>
      <c r="AP43" s="41" t="n">
        <f aca="false">-(Inputs!$B$163+Inputs!$B$164)*IF(2064&lt;2028+Inputs!$B$9,0,IF(2064=2028+Inputs!$B$9,Inputs!$B$165,1))*(1+Inputs!$B$166)^(2064-2028-Inputs!$B$9)*(Inputs!$B$22/MAX(0.0001,Inputs!$B$20+Inputs!$B$21+Inputs!$B$22))</f>
        <v>-8.895716611782</v>
      </c>
      <c r="AQ43" s="41" t="n">
        <f aca="false">-(Inputs!$B$163+Inputs!$B$164)*IF(2065&lt;2028+Inputs!$B$9,0,IF(2065=2028+Inputs!$B$9,Inputs!$B$165,1))*(1+Inputs!$B$166)^(2065-2028-Inputs!$B$9)*(Inputs!$B$22/MAX(0.0001,Inputs!$B$20+Inputs!$B$21+Inputs!$B$22))</f>
        <v>-9.11810952707655</v>
      </c>
      <c r="AR43" s="41" t="n">
        <f aca="false">-(Inputs!$B$163+Inputs!$B$164)*IF(2066&lt;2028+Inputs!$B$9,0,IF(2066=2028+Inputs!$B$9,Inputs!$B$165,1))*(1+Inputs!$B$166)^(2066-2028-Inputs!$B$9)*(Inputs!$B$22/MAX(0.0001,Inputs!$B$20+Inputs!$B$21+Inputs!$B$22))</f>
        <v>-9.34606226525346</v>
      </c>
      <c r="AS43" s="41" t="n">
        <f aca="false">-(Inputs!$B$163+Inputs!$B$164)*IF(2067&lt;2028+Inputs!$B$9,0,IF(2067=2028+Inputs!$B$9,Inputs!$B$165,1))*(1+Inputs!$B$166)^(2067-2028-Inputs!$B$9)*(Inputs!$B$22/MAX(0.0001,Inputs!$B$20+Inputs!$B$21+Inputs!$B$22))</f>
        <v>-9.5797138218848</v>
      </c>
      <c r="AT43" s="41" t="n">
        <f aca="false">-(Inputs!$B$163+Inputs!$B$164)*IF(2068&lt;2028+Inputs!$B$9,0,IF(2068=2028+Inputs!$B$9,Inputs!$B$165,1))*(1+Inputs!$B$166)^(2068-2028-Inputs!$B$9)*(Inputs!$B$22/MAX(0.0001,Inputs!$B$20+Inputs!$B$21+Inputs!$B$22))</f>
        <v>-9.81920666743191</v>
      </c>
      <c r="AU43" s="41" t="n">
        <f aca="false">-(Inputs!$B$163+Inputs!$B$164)*IF(2069&lt;2028+Inputs!$B$9,0,IF(2069=2028+Inputs!$B$9,Inputs!$B$165,1))*(1+Inputs!$B$166)^(2069-2028-Inputs!$B$9)*(Inputs!$B$22/MAX(0.0001,Inputs!$B$20+Inputs!$B$21+Inputs!$B$22))</f>
        <v>-10.0646868341177</v>
      </c>
      <c r="AV43" s="41" t="n">
        <f aca="false">-(Inputs!$B$163+Inputs!$B$164)*IF(2070&lt;2028+Inputs!$B$9,0,IF(2070=2028+Inputs!$B$9,Inputs!$B$165,1))*(1+Inputs!$B$166)^(2070-2028-Inputs!$B$9)*(Inputs!$B$22/MAX(0.0001,Inputs!$B$20+Inputs!$B$21+Inputs!$B$22))</f>
        <v>-10.3163040049707</v>
      </c>
      <c r="AW43" s="41" t="n">
        <f aca="false">-(Inputs!$B$163+Inputs!$B$164)*IF(2071&lt;2028+Inputs!$B$9,0,IF(2071=2028+Inputs!$B$9,Inputs!$B$165,1))*(1+Inputs!$B$166)^(2071-2028-Inputs!$B$9)*(Inputs!$B$22/MAX(0.0001,Inputs!$B$20+Inputs!$B$21+Inputs!$B$22))</f>
        <v>-10.5742116050949</v>
      </c>
      <c r="AX43" s="41" t="n">
        <f aca="false">-(Inputs!$B$163+Inputs!$B$164)*IF(2072&lt;2028+Inputs!$B$9,0,IF(2072=2028+Inputs!$B$9,Inputs!$B$165,1))*(1+Inputs!$B$166)^(2072-2028-Inputs!$B$9)*(Inputs!$B$22/MAX(0.0001,Inputs!$B$20+Inputs!$B$21+Inputs!$B$22))</f>
        <v>-10.8385668952223</v>
      </c>
      <c r="AY43" s="41" t="n">
        <f aca="false">-(Inputs!$B$163+Inputs!$B$164)*IF(2073&lt;2028+Inputs!$B$9,0,IF(2073=2028+Inputs!$B$9,Inputs!$B$165,1))*(1+Inputs!$B$166)^(2073-2028-Inputs!$B$9)*(Inputs!$B$22/MAX(0.0001,Inputs!$B$20+Inputs!$B$21+Inputs!$B$22))</f>
        <v>-11.1095310676028</v>
      </c>
      <c r="AZ43" s="41" t="n">
        <f aca="false">-(Inputs!$B$163+Inputs!$B$164)*IF(2074&lt;2028+Inputs!$B$9,0,IF(2074=2028+Inputs!$B$9,Inputs!$B$165,1))*(1+Inputs!$B$166)^(2074-2028-Inputs!$B$9)*(Inputs!$B$22/MAX(0.0001,Inputs!$B$20+Inputs!$B$21+Inputs!$B$22))</f>
        <v>-11.3872693442929</v>
      </c>
    </row>
    <row r="44" customFormat="false" ht="15" hidden="false" customHeight="true" outlineLevel="0" collapsed="false">
      <c r="A44" s="6" t="s">
        <v>604</v>
      </c>
      <c r="C44" s="44" t="n">
        <f aca="false">SUM(D44:AZ44)</f>
        <v>4004.21740720813</v>
      </c>
      <c r="D44" s="44" t="n">
        <f aca="false">D37+SUM(D40:D43)</f>
        <v>0</v>
      </c>
      <c r="E44" s="44" t="n">
        <f aca="false">E37+SUM(E40:E43)</f>
        <v>0</v>
      </c>
      <c r="F44" s="44" t="n">
        <f aca="false">F37+SUM(F40:F43)</f>
        <v>1.63098917348279</v>
      </c>
      <c r="G44" s="44" t="n">
        <f aca="false">G37+SUM(G40:G43)</f>
        <v>20.8360979348139</v>
      </c>
      <c r="H44" s="44" t="n">
        <f aca="false">H37+SUM(H40:H43)</f>
        <v>31.1769009655813</v>
      </c>
      <c r="I44" s="44" t="n">
        <f aca="false">I37+SUM(I40:I43)</f>
        <v>40.7697073631903</v>
      </c>
      <c r="J44" s="44" t="n">
        <f aca="false">J37+SUM(J40:J43)</f>
        <v>40.4164767951104</v>
      </c>
      <c r="K44" s="44" t="n">
        <f aca="false">K37+SUM(K40:K43)</f>
        <v>40.0544154628284</v>
      </c>
      <c r="L44" s="44" t="n">
        <f aca="false">L37+SUM(L40:L43)</f>
        <v>45.2491837579185</v>
      </c>
      <c r="M44" s="44" t="n">
        <f aca="false">M37+SUM(M40:M43)</f>
        <v>44.8687930706898</v>
      </c>
      <c r="N44" s="44" t="n">
        <f aca="false">N37+SUM(N40:N43)</f>
        <v>44.4788926162804</v>
      </c>
      <c r="O44" s="44" t="n">
        <f aca="false">O37+SUM(O40:O43)</f>
        <v>50.2017139272577</v>
      </c>
      <c r="P44" s="44" t="n">
        <f aca="false">P37+SUM(P40:P43)</f>
        <v>49.7920747623438</v>
      </c>
      <c r="Q44" s="44" t="n">
        <f aca="false">Q37+SUM(Q40:Q43)</f>
        <v>49.372194618307</v>
      </c>
      <c r="R44" s="44" t="n">
        <f aca="false">R37+SUM(R40:R43)</f>
        <v>55.6765336750911</v>
      </c>
      <c r="S44" s="44" t="n">
        <f aca="false">S37+SUM(S40:S43)</f>
        <v>55.2353970987624</v>
      </c>
      <c r="T44" s="44" t="n">
        <f aca="false">T37+SUM(T40:T43)</f>
        <v>54.7832321080256</v>
      </c>
      <c r="U44" s="44" t="n">
        <f aca="false">U37+SUM(U40:U43)</f>
        <v>61.7279508173842</v>
      </c>
      <c r="V44" s="44" t="n">
        <f aca="false">V37+SUM(V40:V43)</f>
        <v>61.2528949739913</v>
      </c>
      <c r="W44" s="44" t="n">
        <f aca="false">W37+SUM(W40:W43)</f>
        <v>60.7659627345136</v>
      </c>
      <c r="X44" s="44" t="n">
        <f aca="false">X37+SUM(X40:X43)</f>
        <v>68.4158637963992</v>
      </c>
      <c r="Y44" s="44" t="n">
        <f aca="false">Y37+SUM(Y40:Y43)</f>
        <v>67.9042806122979</v>
      </c>
      <c r="Z44" s="44" t="n">
        <f aca="false">Z37+SUM(Z40:Z43)</f>
        <v>67.3799078485941</v>
      </c>
      <c r="AA44" s="44" t="n">
        <f aca="false">AA37+SUM(AA40:AA43)</f>
        <v>75.806333033883</v>
      </c>
      <c r="AB44" s="44" t="n">
        <f aca="false">AB37+SUM(AB40:AB43)</f>
        <v>75.2554138990167</v>
      </c>
      <c r="AC44" s="44" t="n">
        <f aca="false">AC37+SUM(AC40:AC43)</f>
        <v>74.6907217857787</v>
      </c>
      <c r="AD44" s="44" t="n">
        <f aca="false">AD37+SUM(AD40:AD43)</f>
        <v>83.9722103646036</v>
      </c>
      <c r="AE44" s="44" t="n">
        <f aca="false">AE37+SUM(AE40:AE43)</f>
        <v>83.378930713133</v>
      </c>
      <c r="AF44" s="44" t="n">
        <f aca="false">AF37+SUM(AF40:AF43)</f>
        <v>82.7708190703755</v>
      </c>
      <c r="AG44" s="44" t="n">
        <f aca="false">AG37+SUM(AG40:AG43)</f>
        <v>92.9938324309324</v>
      </c>
      <c r="AH44" s="44" t="n">
        <f aca="false">AH37+SUM(AH40:AH43)</f>
        <v>92.3549351362604</v>
      </c>
      <c r="AI44" s="44" t="n">
        <f aca="false">AI37+SUM(AI40:AI43)</f>
        <v>91.7000654092216</v>
      </c>
      <c r="AJ44" s="44" t="n">
        <f aca="false">AJ37+SUM(AJ40:AJ43)</f>
        <v>102.959784512828</v>
      </c>
      <c r="AK44" s="44" t="n">
        <f aca="false">AK37+SUM(AK40:AK43)</f>
        <v>102.271762005858</v>
      </c>
      <c r="AL44" s="44" t="n">
        <f aca="false">AL37+SUM(AL40:AL43)</f>
        <v>101.566538936214</v>
      </c>
      <c r="AM44" s="44" t="n">
        <f aca="false">AM37+SUM(AM40:AM43)</f>
        <v>113.967741921032</v>
      </c>
      <c r="AN44" s="44" t="n">
        <f aca="false">AN37+SUM(AN40:AN43)</f>
        <v>113.226816933487</v>
      </c>
      <c r="AO44" s="44" t="n">
        <f aca="false">AO37+SUM(AO40:AO43)</f>
        <v>112.467368821253</v>
      </c>
      <c r="AP44" s="44" t="n">
        <f aca="false">AP37+SUM(AP40:AP43)</f>
        <v>126.125396800537</v>
      </c>
      <c r="AQ44" s="44" t="n">
        <f aca="false">AQ37+SUM(AQ40:AQ43)</f>
        <v>125.327501627622</v>
      </c>
      <c r="AR44" s="44" t="n">
        <f aca="false">AR37+SUM(AR40:AR43)</f>
        <v>124.509659075383</v>
      </c>
      <c r="AS44" s="44" t="n">
        <f aca="false">AS37+SUM(AS40:AS43)</f>
        <v>139.551478983095</v>
      </c>
      <c r="AT44" s="44" t="n">
        <f aca="false">AT37+SUM(AT40:AT43)</f>
        <v>138.69223315165</v>
      </c>
      <c r="AU44" s="44" t="n">
        <f aca="false">AU37+SUM(AU40:AU43)</f>
        <v>137.811506174418</v>
      </c>
      <c r="AV44" s="44" t="n">
        <f aca="false">AV37+SUM(AV40:AV43)</f>
        <v>154.376880398888</v>
      </c>
      <c r="AW44" s="44" t="n">
        <f aca="false">AW37+SUM(AW40:AW43)</f>
        <v>153.451566618434</v>
      </c>
      <c r="AX44" s="44" t="n">
        <f aca="false">AX37+SUM(AX40:AX43)</f>
        <v>152.503119993468</v>
      </c>
      <c r="AY44" s="44" t="n">
        <f aca="false">AY37+SUM(AY40:AY43)</f>
        <v>170.745893516624</v>
      </c>
      <c r="AZ44" s="44" t="n">
        <f aca="false">AZ37+SUM(AZ40:AZ43)</f>
        <v>169.74943178127</v>
      </c>
    </row>
    <row r="46" customFormat="false" ht="15" hidden="false" customHeight="true" outlineLevel="0" collapsed="false">
      <c r="A46" s="11" t="s">
        <v>605</v>
      </c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</row>
    <row r="47" customFormat="false" ht="15" hidden="false" customHeight="true" outlineLevel="0" collapsed="false">
      <c r="A47" s="6" t="s">
        <v>606</v>
      </c>
      <c r="C47" s="21" t="n">
        <f aca="false">SUM(D47:AZ47)</f>
        <v>3803.96461469614</v>
      </c>
      <c r="D47" s="21" t="n">
        <f aca="false">D44-D22</f>
        <v>-21.9182848446727</v>
      </c>
      <c r="E47" s="21" t="n">
        <f aca="false">E44-E22</f>
        <v>-106.175794343776</v>
      </c>
      <c r="F47" s="21" t="n">
        <f aca="false">F44-F22</f>
        <v>-60.6127241500618</v>
      </c>
      <c r="G47" s="21" t="n">
        <f aca="false">G44-G22</f>
        <v>10.9210979348139</v>
      </c>
      <c r="H47" s="21" t="n">
        <f aca="false">H44-H22</f>
        <v>31.1769009655813</v>
      </c>
      <c r="I47" s="21" t="n">
        <f aca="false">I44-I22</f>
        <v>40.7697073631903</v>
      </c>
      <c r="J47" s="21" t="n">
        <f aca="false">J44-J22</f>
        <v>40.4164767951104</v>
      </c>
      <c r="K47" s="21" t="n">
        <f aca="false">K44-K22</f>
        <v>40.0544154628284</v>
      </c>
      <c r="L47" s="21" t="n">
        <f aca="false">L44-L22</f>
        <v>45.2491837579185</v>
      </c>
      <c r="M47" s="21" t="n">
        <f aca="false">M44-M22</f>
        <v>44.8687930706898</v>
      </c>
      <c r="N47" s="21" t="n">
        <f aca="false">N44-N22</f>
        <v>44.4788926162804</v>
      </c>
      <c r="O47" s="21" t="n">
        <f aca="false">O44-O22</f>
        <v>50.2017139272577</v>
      </c>
      <c r="P47" s="21" t="n">
        <f aca="false">P44-P22</f>
        <v>49.7920747623438</v>
      </c>
      <c r="Q47" s="21" t="n">
        <f aca="false">Q44-Q22</f>
        <v>49.372194618307</v>
      </c>
      <c r="R47" s="21" t="n">
        <f aca="false">R44-R22</f>
        <v>55.6765336750911</v>
      </c>
      <c r="S47" s="21" t="n">
        <f aca="false">S44-S22</f>
        <v>55.2353970987624</v>
      </c>
      <c r="T47" s="21" t="n">
        <f aca="false">T44-T22</f>
        <v>54.7832321080256</v>
      </c>
      <c r="U47" s="21" t="n">
        <f aca="false">U44-U22</f>
        <v>61.7279508173842</v>
      </c>
      <c r="V47" s="21" t="n">
        <f aca="false">V44-V22</f>
        <v>61.2528949739913</v>
      </c>
      <c r="W47" s="21" t="n">
        <f aca="false">W44-W22</f>
        <v>60.7659627345136</v>
      </c>
      <c r="X47" s="21" t="n">
        <f aca="false">X44-X22</f>
        <v>68.4158637963992</v>
      </c>
      <c r="Y47" s="21" t="n">
        <f aca="false">Y44-Y22</f>
        <v>67.9042806122979</v>
      </c>
      <c r="Z47" s="21" t="n">
        <f aca="false">Z44-Z22</f>
        <v>67.3799078485941</v>
      </c>
      <c r="AA47" s="21" t="n">
        <f aca="false">AA44-AA22</f>
        <v>75.806333033883</v>
      </c>
      <c r="AB47" s="21" t="n">
        <f aca="false">AB44-AB22</f>
        <v>75.2554138990167</v>
      </c>
      <c r="AC47" s="21" t="n">
        <f aca="false">AC44-AC22</f>
        <v>74.6907217857787</v>
      </c>
      <c r="AD47" s="21" t="n">
        <f aca="false">AD44-AD22</f>
        <v>83.9722103646036</v>
      </c>
      <c r="AE47" s="21" t="n">
        <f aca="false">AE44-AE22</f>
        <v>83.378930713133</v>
      </c>
      <c r="AF47" s="21" t="n">
        <f aca="false">AF44-AF22</f>
        <v>82.7708190703755</v>
      </c>
      <c r="AG47" s="21" t="n">
        <f aca="false">AG44-AG22</f>
        <v>92.9938324309324</v>
      </c>
      <c r="AH47" s="21" t="n">
        <f aca="false">AH44-AH22</f>
        <v>92.3549351362604</v>
      </c>
      <c r="AI47" s="21" t="n">
        <f aca="false">AI44-AI22</f>
        <v>91.7000654092216</v>
      </c>
      <c r="AJ47" s="21" t="n">
        <f aca="false">AJ44-AJ22</f>
        <v>102.959784512828</v>
      </c>
      <c r="AK47" s="21" t="n">
        <f aca="false">AK44-AK22</f>
        <v>102.271762005858</v>
      </c>
      <c r="AL47" s="21" t="n">
        <f aca="false">AL44-AL22</f>
        <v>101.566538936214</v>
      </c>
      <c r="AM47" s="21" t="n">
        <f aca="false">AM44-AM22</f>
        <v>113.967741921032</v>
      </c>
      <c r="AN47" s="21" t="n">
        <f aca="false">AN44-AN22</f>
        <v>113.226816933487</v>
      </c>
      <c r="AO47" s="21" t="n">
        <f aca="false">AO44-AO22</f>
        <v>112.467368821253</v>
      </c>
      <c r="AP47" s="21" t="n">
        <f aca="false">AP44-AP22</f>
        <v>126.125396800537</v>
      </c>
      <c r="AQ47" s="21" t="n">
        <f aca="false">AQ44-AQ22</f>
        <v>125.327501627622</v>
      </c>
      <c r="AR47" s="21" t="n">
        <f aca="false">AR44-AR22</f>
        <v>124.509659075383</v>
      </c>
      <c r="AS47" s="21" t="n">
        <f aca="false">AS44-AS22</f>
        <v>139.551478983095</v>
      </c>
      <c r="AT47" s="21" t="n">
        <f aca="false">AT44-AT22</f>
        <v>138.69223315165</v>
      </c>
      <c r="AU47" s="21" t="n">
        <f aca="false">AU44-AU22</f>
        <v>137.811506174418</v>
      </c>
      <c r="AV47" s="21" t="n">
        <f aca="false">AV44-AV22</f>
        <v>154.376880398888</v>
      </c>
      <c r="AW47" s="21" t="n">
        <f aca="false">AW44-AW22</f>
        <v>153.451566618434</v>
      </c>
      <c r="AX47" s="21" t="n">
        <f aca="false">AX44-AX22</f>
        <v>152.503119993468</v>
      </c>
      <c r="AY47" s="21" t="n">
        <f aca="false">AY44-AY22</f>
        <v>170.745893516624</v>
      </c>
      <c r="AZ47" s="21" t="n">
        <f aca="false">AZ44-AZ22</f>
        <v>169.74943178127</v>
      </c>
    </row>
    <row r="48" customFormat="false" ht="15" hidden="false" customHeight="true" outlineLevel="0" collapsed="false">
      <c r="A48" s="13" t="s">
        <v>607</v>
      </c>
      <c r="D48" s="41" t="n">
        <f aca="false">D47</f>
        <v>-21.9182848446727</v>
      </c>
      <c r="E48" s="41" t="n">
        <f aca="false">D48+E47</f>
        <v>-128.094079188449</v>
      </c>
      <c r="F48" s="41" t="n">
        <f aca="false">E48+F47</f>
        <v>-188.706803338511</v>
      </c>
      <c r="G48" s="41" t="n">
        <f aca="false">F48+G47</f>
        <v>-177.785705403697</v>
      </c>
      <c r="H48" s="41" t="n">
        <f aca="false">G48+H47</f>
        <v>-146.608804438115</v>
      </c>
      <c r="I48" s="41" t="n">
        <f aca="false">H48+I47</f>
        <v>-105.839097074925</v>
      </c>
      <c r="J48" s="41" t="n">
        <f aca="false">I48+J47</f>
        <v>-65.4226202798146</v>
      </c>
      <c r="K48" s="41" t="n">
        <f aca="false">J48+K47</f>
        <v>-25.3682048169862</v>
      </c>
      <c r="L48" s="41" t="n">
        <f aca="false">K48+L47</f>
        <v>19.8809789409323</v>
      </c>
      <c r="M48" s="41" t="n">
        <f aca="false">L48+M47</f>
        <v>64.7497720116221</v>
      </c>
      <c r="N48" s="41" t="n">
        <f aca="false">M48+N47</f>
        <v>109.228664627903</v>
      </c>
      <c r="O48" s="41" t="n">
        <f aca="false">N48+O47</f>
        <v>159.43037855516</v>
      </c>
      <c r="P48" s="41" t="n">
        <f aca="false">O48+P47</f>
        <v>209.222453317504</v>
      </c>
      <c r="Q48" s="41" t="n">
        <f aca="false">P48+Q47</f>
        <v>258.594647935811</v>
      </c>
      <c r="R48" s="41" t="n">
        <f aca="false">Q48+R47</f>
        <v>314.271181610902</v>
      </c>
      <c r="S48" s="41" t="n">
        <f aca="false">R48+S47</f>
        <v>369.506578709665</v>
      </c>
      <c r="T48" s="41" t="n">
        <f aca="false">S48+T47</f>
        <v>424.28981081769</v>
      </c>
      <c r="U48" s="41" t="n">
        <f aca="false">T48+U47</f>
        <v>486.017761635074</v>
      </c>
      <c r="V48" s="41" t="n">
        <f aca="false">U48+V47</f>
        <v>547.270656609066</v>
      </c>
      <c r="W48" s="41" t="n">
        <f aca="false">V48+W47</f>
        <v>608.036619343579</v>
      </c>
      <c r="X48" s="41" t="n">
        <f aca="false">W48+X47</f>
        <v>676.452483139978</v>
      </c>
      <c r="Y48" s="41" t="n">
        <f aca="false">X48+Y47</f>
        <v>744.356763752276</v>
      </c>
      <c r="Z48" s="41" t="n">
        <f aca="false">Y48+Z47</f>
        <v>811.73667160087</v>
      </c>
      <c r="AA48" s="41" t="n">
        <f aca="false">Z48+AA47</f>
        <v>887.543004634753</v>
      </c>
      <c r="AB48" s="41" t="n">
        <f aca="false">AA48+AB47</f>
        <v>962.79841853377</v>
      </c>
      <c r="AC48" s="41" t="n">
        <f aca="false">AB48+AC47</f>
        <v>1037.48914031955</v>
      </c>
      <c r="AD48" s="41" t="n">
        <f aca="false">AC48+AD47</f>
        <v>1121.46135068415</v>
      </c>
      <c r="AE48" s="41" t="n">
        <f aca="false">AD48+AE47</f>
        <v>1204.84028139729</v>
      </c>
      <c r="AF48" s="41" t="n">
        <f aca="false">AE48+AF47</f>
        <v>1287.61110046766</v>
      </c>
      <c r="AG48" s="41" t="n">
        <f aca="false">AF48+AG47</f>
        <v>1380.60493289859</v>
      </c>
      <c r="AH48" s="41" t="n">
        <f aca="false">AG48+AH47</f>
        <v>1472.95986803485</v>
      </c>
      <c r="AI48" s="41" t="n">
        <f aca="false">AH48+AI47</f>
        <v>1564.65993344408</v>
      </c>
      <c r="AJ48" s="41" t="n">
        <f aca="false">AI48+AJ47</f>
        <v>1667.6197179569</v>
      </c>
      <c r="AK48" s="41" t="n">
        <f aca="false">AJ48+AK47</f>
        <v>1769.89147996276</v>
      </c>
      <c r="AL48" s="41" t="n">
        <f aca="false">AK48+AL47</f>
        <v>1871.45801889898</v>
      </c>
      <c r="AM48" s="41" t="n">
        <f aca="false">AL48+AM47</f>
        <v>1985.42576082001</v>
      </c>
      <c r="AN48" s="41" t="n">
        <f aca="false">AM48+AN47</f>
        <v>2098.65257775349</v>
      </c>
      <c r="AO48" s="41" t="n">
        <f aca="false">AN48+AO47</f>
        <v>2211.11994657475</v>
      </c>
      <c r="AP48" s="41" t="n">
        <f aca="false">AO48+AP47</f>
        <v>2337.24534337529</v>
      </c>
      <c r="AQ48" s="41" t="n">
        <f aca="false">AP48+AQ47</f>
        <v>2462.57284500291</v>
      </c>
      <c r="AR48" s="41" t="n">
        <f aca="false">AQ48+AR47</f>
        <v>2587.08250407829</v>
      </c>
      <c r="AS48" s="41" t="n">
        <f aca="false">AR48+AS47</f>
        <v>2726.63398306139</v>
      </c>
      <c r="AT48" s="41" t="n">
        <f aca="false">AS48+AT47</f>
        <v>2865.32621621304</v>
      </c>
      <c r="AU48" s="41" t="n">
        <f aca="false">AT48+AU47</f>
        <v>3003.13772238745</v>
      </c>
      <c r="AV48" s="41" t="n">
        <f aca="false">AU48+AV47</f>
        <v>3157.51460278634</v>
      </c>
      <c r="AW48" s="41" t="n">
        <f aca="false">AV48+AW47</f>
        <v>3310.96616940477</v>
      </c>
      <c r="AX48" s="41" t="n">
        <f aca="false">AW48+AX47</f>
        <v>3463.46928939824</v>
      </c>
      <c r="AY48" s="41" t="n">
        <f aca="false">AX48+AY47</f>
        <v>3634.21518291487</v>
      </c>
      <c r="AZ48" s="41" t="n">
        <f aca="false">AY48+AZ47</f>
        <v>3803.96461469614</v>
      </c>
    </row>
    <row r="49" customFormat="false" ht="15" hidden="false" customHeight="true" outlineLevel="0" collapsed="false">
      <c r="A49" s="13" t="s">
        <v>608</v>
      </c>
      <c r="D49" s="41" t="n">
        <f aca="false">IF(2026=Inputs!$B$176,E44/Inputs!$B$177*(1-(1+Inputs!$B$177)^-(Inputs!$B$55-2026)),0)</f>
        <v>0</v>
      </c>
      <c r="E49" s="41" t="n">
        <f aca="false">IF(2027=Inputs!$B$176,F44/Inputs!$B$177*(1-(1+Inputs!$B$177)^-(Inputs!$B$55-2027)),0)</f>
        <v>0</v>
      </c>
      <c r="F49" s="41" t="n">
        <f aca="false">IF(2028=Inputs!$B$176,G44/Inputs!$B$177*(1-(1+Inputs!$B$177)^-(Inputs!$B$55-2028)),0)</f>
        <v>0</v>
      </c>
      <c r="G49" s="41" t="n">
        <f aca="false">IF(2029=Inputs!$B$176,H44/Inputs!$B$177*(1-(1+Inputs!$B$177)^-(Inputs!$B$55-2029)),0)</f>
        <v>0</v>
      </c>
      <c r="H49" s="41" t="n">
        <f aca="false">IF(2030=Inputs!$B$176,I44/Inputs!$B$177*(1-(1+Inputs!$B$177)^-(Inputs!$B$55-2030)),0)</f>
        <v>0</v>
      </c>
      <c r="I49" s="41" t="n">
        <f aca="false">IF(2031=Inputs!$B$176,J44/Inputs!$B$177*(1-(1+Inputs!$B$177)^-(Inputs!$B$55-2031)),0)</f>
        <v>0</v>
      </c>
      <c r="J49" s="41" t="n">
        <f aca="false">IF(2032=Inputs!$B$176,K44/Inputs!$B$177*(1-(1+Inputs!$B$177)^-(Inputs!$B$55-2032)),0)</f>
        <v>0</v>
      </c>
      <c r="K49" s="41" t="n">
        <f aca="false">IF(2033=Inputs!$B$176,L44/Inputs!$B$177*(1-(1+Inputs!$B$177)^-(Inputs!$B$55-2033)),0)</f>
        <v>0</v>
      </c>
      <c r="L49" s="41" t="n">
        <f aca="false">IF(2034=Inputs!$B$176,M44/Inputs!$B$177*(1-(1+Inputs!$B$177)^-(Inputs!$B$55-2034)),0)</f>
        <v>0</v>
      </c>
      <c r="M49" s="41" t="n">
        <f aca="false">IF(2035=Inputs!$B$176,N44/Inputs!$B$177*(1-(1+Inputs!$B$177)^-(Inputs!$B$55-2035)),0)</f>
        <v>0</v>
      </c>
      <c r="N49" s="41" t="n">
        <f aca="false">IF(2036=Inputs!$B$176,O44/Inputs!$B$177*(1-(1+Inputs!$B$177)^-(Inputs!$B$55-2036)),0)</f>
        <v>0</v>
      </c>
      <c r="O49" s="41" t="n">
        <f aca="false">IF(2037=Inputs!$B$176,P44/Inputs!$B$177*(1-(1+Inputs!$B$177)^-(Inputs!$B$55-2037)),0)</f>
        <v>0</v>
      </c>
      <c r="P49" s="41" t="n">
        <f aca="false">IF(2038=Inputs!$B$176,Q44/Inputs!$B$177*(1-(1+Inputs!$B$177)^-(Inputs!$B$55-2038)),0)</f>
        <v>0</v>
      </c>
      <c r="Q49" s="41" t="n">
        <f aca="false">IF(2039=Inputs!$B$176,R44/Inputs!$B$177*(1-(1+Inputs!$B$177)^-(Inputs!$B$55-2039)),0)</f>
        <v>0</v>
      </c>
      <c r="R49" s="41" t="n">
        <f aca="false">IF(2040=Inputs!$B$176,S44/Inputs!$B$177*(1-(1+Inputs!$B$177)^-(Inputs!$B$55-2040)),0)</f>
        <v>530.733448490899</v>
      </c>
      <c r="S49" s="41" t="n">
        <f aca="false">IF(2041=Inputs!$B$176,T44/Inputs!$B$177*(1-(1+Inputs!$B$177)^-(Inputs!$B$55-2041)),0)</f>
        <v>0</v>
      </c>
      <c r="T49" s="41" t="n">
        <f aca="false">IF(2042=Inputs!$B$176,U44/Inputs!$B$177*(1-(1+Inputs!$B$177)^-(Inputs!$B$55-2042)),0)</f>
        <v>0</v>
      </c>
      <c r="U49" s="41" t="n">
        <f aca="false">IF(2043=Inputs!$B$176,V44/Inputs!$B$177*(1-(1+Inputs!$B$177)^-(Inputs!$B$55-2043)),0)</f>
        <v>0</v>
      </c>
      <c r="V49" s="41" t="n">
        <f aca="false">IF(2044=Inputs!$B$176,W44/Inputs!$B$177*(1-(1+Inputs!$B$177)^-(Inputs!$B$55-2044)),0)</f>
        <v>0</v>
      </c>
      <c r="W49" s="41" t="n">
        <f aca="false">IF(2045=Inputs!$B$176,X44/Inputs!$B$177*(1-(1+Inputs!$B$177)^-(Inputs!$B$55-2045)),0)</f>
        <v>0</v>
      </c>
      <c r="X49" s="41" t="n">
        <f aca="false">IF(2046=Inputs!$B$176,Y44/Inputs!$B$177*(1-(1+Inputs!$B$177)^-(Inputs!$B$55-2046)),0)</f>
        <v>0</v>
      </c>
      <c r="Y49" s="41" t="n">
        <f aca="false">IF(2047=Inputs!$B$176,Z44/Inputs!$B$177*(1-(1+Inputs!$B$177)^-(Inputs!$B$55-2047)),0)</f>
        <v>0</v>
      </c>
      <c r="Z49" s="41" t="n">
        <f aca="false">IF(2048=Inputs!$B$176,AA44/Inputs!$B$177*(1-(1+Inputs!$B$177)^-(Inputs!$B$55-2048)),0)</f>
        <v>0</v>
      </c>
      <c r="AA49" s="41" t="n">
        <f aca="false">IF(2049=Inputs!$B$176,AB44/Inputs!$B$177*(1-(1+Inputs!$B$177)^-(Inputs!$B$55-2049)),0)</f>
        <v>0</v>
      </c>
      <c r="AB49" s="41" t="n">
        <f aca="false">IF(2050=Inputs!$B$176,AC44/Inputs!$B$177*(1-(1+Inputs!$B$177)^-(Inputs!$B$55-2050)),0)</f>
        <v>0</v>
      </c>
      <c r="AC49" s="41" t="n">
        <f aca="false">IF(2051=Inputs!$B$176,AD44/Inputs!$B$177*(1-(1+Inputs!$B$177)^-(Inputs!$B$55-2051)),0)</f>
        <v>0</v>
      </c>
      <c r="AD49" s="41" t="n">
        <f aca="false">IF(2052=Inputs!$B$176,AE44/Inputs!$B$177*(1-(1+Inputs!$B$177)^-(Inputs!$B$55-2052)),0)</f>
        <v>0</v>
      </c>
      <c r="AE49" s="41" t="n">
        <f aca="false">IF(2053=Inputs!$B$176,AF44/Inputs!$B$177*(1-(1+Inputs!$B$177)^-(Inputs!$B$55-2053)),0)</f>
        <v>0</v>
      </c>
      <c r="AF49" s="41" t="n">
        <f aca="false">IF(2054=Inputs!$B$176,AG44/Inputs!$B$177*(1-(1+Inputs!$B$177)^-(Inputs!$B$55-2054)),0)</f>
        <v>0</v>
      </c>
      <c r="AG49" s="41" t="n">
        <f aca="false">IF(2055=Inputs!$B$176,AH44/Inputs!$B$177*(1-(1+Inputs!$B$177)^-(Inputs!$B$55-2055)),0)</f>
        <v>0</v>
      </c>
      <c r="AH49" s="41" t="n">
        <f aca="false">IF(2056=Inputs!$B$176,AI44/Inputs!$B$177*(1-(1+Inputs!$B$177)^-(Inputs!$B$55-2056)),0)</f>
        <v>0</v>
      </c>
      <c r="AI49" s="41" t="n">
        <f aca="false">IF(2057=Inputs!$B$176,AJ44/Inputs!$B$177*(1-(1+Inputs!$B$177)^-(Inputs!$B$55-2057)),0)</f>
        <v>0</v>
      </c>
      <c r="AJ49" s="41" t="n">
        <f aca="false">IF(2058=Inputs!$B$176,AK44/Inputs!$B$177*(1-(1+Inputs!$B$177)^-(Inputs!$B$55-2058)),0)</f>
        <v>0</v>
      </c>
      <c r="AK49" s="41" t="n">
        <f aca="false">IF(2059=Inputs!$B$176,AL44/Inputs!$B$177*(1-(1+Inputs!$B$177)^-(Inputs!$B$55-2059)),0)</f>
        <v>0</v>
      </c>
      <c r="AL49" s="41" t="n">
        <f aca="false">IF(2060=Inputs!$B$176,AM44/Inputs!$B$177*(1-(1+Inputs!$B$177)^-(Inputs!$B$55-2060)),0)</f>
        <v>0</v>
      </c>
      <c r="AM49" s="41" t="n">
        <f aca="false">IF(2061=Inputs!$B$176,AN44/Inputs!$B$177*(1-(1+Inputs!$B$177)^-(Inputs!$B$55-2061)),0)</f>
        <v>0</v>
      </c>
      <c r="AN49" s="41" t="n">
        <f aca="false">IF(2062=Inputs!$B$176,AO44/Inputs!$B$177*(1-(1+Inputs!$B$177)^-(Inputs!$B$55-2062)),0)</f>
        <v>0</v>
      </c>
      <c r="AO49" s="41" t="n">
        <f aca="false">IF(2063=Inputs!$B$176,AP44/Inputs!$B$177*(1-(1+Inputs!$B$177)^-(Inputs!$B$55-2063)),0)</f>
        <v>0</v>
      </c>
      <c r="AP49" s="41" t="n">
        <f aca="false">IF(2064=Inputs!$B$176,AQ44/Inputs!$B$177*(1-(1+Inputs!$B$177)^-(Inputs!$B$55-2064)),0)</f>
        <v>0</v>
      </c>
      <c r="AQ49" s="41" t="n">
        <f aca="false">IF(2065=Inputs!$B$176,AR44/Inputs!$B$177*(1-(1+Inputs!$B$177)^-(Inputs!$B$55-2065)),0)</f>
        <v>0</v>
      </c>
      <c r="AR49" s="41" t="n">
        <f aca="false">IF(2066=Inputs!$B$176,AS44/Inputs!$B$177*(1-(1+Inputs!$B$177)^-(Inputs!$B$55-2066)),0)</f>
        <v>0</v>
      </c>
      <c r="AS49" s="41" t="n">
        <f aca="false">IF(2067=Inputs!$B$176,AT44/Inputs!$B$177*(1-(1+Inputs!$B$177)^-(Inputs!$B$55-2067)),0)</f>
        <v>0</v>
      </c>
      <c r="AT49" s="41" t="n">
        <f aca="false">IF(2068=Inputs!$B$176,AU44/Inputs!$B$177*(1-(1+Inputs!$B$177)^-(Inputs!$B$55-2068)),0)</f>
        <v>0</v>
      </c>
      <c r="AU49" s="41" t="n">
        <f aca="false">IF(2069=Inputs!$B$176,AV44/Inputs!$B$177*(1-(1+Inputs!$B$177)^-(Inputs!$B$55-2069)),0)</f>
        <v>0</v>
      </c>
      <c r="AV49" s="41" t="n">
        <f aca="false">IF(2070=Inputs!$B$176,AW44/Inputs!$B$177*(1-(1+Inputs!$B$177)^-(Inputs!$B$55-2070)),0)</f>
        <v>0</v>
      </c>
      <c r="AW49" s="41" t="n">
        <f aca="false">IF(2071=Inputs!$B$176,AX44/Inputs!$B$177*(1-(1+Inputs!$B$177)^-(Inputs!$B$55-2071)),0)</f>
        <v>0</v>
      </c>
      <c r="AX49" s="41" t="n">
        <f aca="false">IF(2072=Inputs!$B$176,AY44/Inputs!$B$177*(1-(1+Inputs!$B$177)^-(Inputs!$B$55-2072)),0)</f>
        <v>0</v>
      </c>
      <c r="AY49" s="41" t="n">
        <f aca="false">IF(2073=Inputs!$B$176,AZ44/Inputs!$B$177*(1-(1+Inputs!$B$177)^-(Inputs!$B$55-2073)),0)</f>
        <v>0</v>
      </c>
      <c r="AZ49" s="41" t="n">
        <f aca="false">IF(2074=Inputs!$B$176,AZ44/Inputs!$B$177*(1-(1+Inputs!$B$177)^-(Inputs!$B$55-2074)),0)</f>
        <v>0</v>
      </c>
    </row>
    <row r="50" customFormat="false" ht="15" hidden="false" customHeight="true" outlineLevel="0" collapsed="false">
      <c r="A50" s="6" t="s">
        <v>609</v>
      </c>
      <c r="C50" s="21" t="n">
        <f aca="false">SUM(D50:AZ50)</f>
        <v>845.004630101801</v>
      </c>
      <c r="D50" s="21" t="n">
        <f aca="false">IF(2026&gt;Inputs!$B$176,0,D47+D49)</f>
        <v>-21.9182848446727</v>
      </c>
      <c r="E50" s="21" t="n">
        <f aca="false">IF(2027&gt;Inputs!$B$176,0,E47+E49)</f>
        <v>-106.175794343776</v>
      </c>
      <c r="F50" s="21" t="n">
        <f aca="false">IF(2028&gt;Inputs!$B$176,0,F47+F49)</f>
        <v>-60.6127241500618</v>
      </c>
      <c r="G50" s="21" t="n">
        <f aca="false">IF(2029&gt;Inputs!$B$176,0,G47+G49)</f>
        <v>10.9210979348139</v>
      </c>
      <c r="H50" s="21" t="n">
        <f aca="false">IF(2030&gt;Inputs!$B$176,0,H47+H49)</f>
        <v>31.1769009655813</v>
      </c>
      <c r="I50" s="21" t="n">
        <f aca="false">IF(2031&gt;Inputs!$B$176,0,I47+I49)</f>
        <v>40.7697073631903</v>
      </c>
      <c r="J50" s="21" t="n">
        <f aca="false">IF(2032&gt;Inputs!$B$176,0,J47+J49)</f>
        <v>40.4164767951104</v>
      </c>
      <c r="K50" s="21" t="n">
        <f aca="false">IF(2033&gt;Inputs!$B$176,0,K47+K49)</f>
        <v>40.0544154628284</v>
      </c>
      <c r="L50" s="21" t="n">
        <f aca="false">IF(2034&gt;Inputs!$B$176,0,L47+L49)</f>
        <v>45.2491837579185</v>
      </c>
      <c r="M50" s="21" t="n">
        <f aca="false">IF(2035&gt;Inputs!$B$176,0,M47+M49)</f>
        <v>44.8687930706898</v>
      </c>
      <c r="N50" s="21" t="n">
        <f aca="false">IF(2036&gt;Inputs!$B$176,0,N47+N49)</f>
        <v>44.4788926162804</v>
      </c>
      <c r="O50" s="21" t="n">
        <f aca="false">IF(2037&gt;Inputs!$B$176,0,O47+O49)</f>
        <v>50.2017139272577</v>
      </c>
      <c r="P50" s="21" t="n">
        <f aca="false">IF(2038&gt;Inputs!$B$176,0,P47+P49)</f>
        <v>49.7920747623438</v>
      </c>
      <c r="Q50" s="21" t="n">
        <f aca="false">IF(2039&gt;Inputs!$B$176,0,Q47+Q49)</f>
        <v>49.372194618307</v>
      </c>
      <c r="R50" s="21" t="n">
        <f aca="false">IF(2040&gt;Inputs!$B$176,0,R47+R49)</f>
        <v>586.40998216599</v>
      </c>
      <c r="S50" s="21" t="n">
        <f aca="false">IF(2041&gt;Inputs!$B$176,0,S47+S49)</f>
        <v>0</v>
      </c>
      <c r="T50" s="21" t="n">
        <f aca="false">IF(2042&gt;Inputs!$B$176,0,T47+T49)</f>
        <v>0</v>
      </c>
      <c r="U50" s="21" t="n">
        <f aca="false">IF(2043&gt;Inputs!$B$176,0,U47+U49)</f>
        <v>0</v>
      </c>
      <c r="V50" s="21" t="n">
        <f aca="false">IF(2044&gt;Inputs!$B$176,0,V47+V49)</f>
        <v>0</v>
      </c>
      <c r="W50" s="21" t="n">
        <f aca="false">IF(2045&gt;Inputs!$B$176,0,W47+W49)</f>
        <v>0</v>
      </c>
      <c r="X50" s="21" t="n">
        <f aca="false">IF(2046&gt;Inputs!$B$176,0,X47+X49)</f>
        <v>0</v>
      </c>
      <c r="Y50" s="21" t="n">
        <f aca="false">IF(2047&gt;Inputs!$B$176,0,Y47+Y49)</f>
        <v>0</v>
      </c>
      <c r="Z50" s="21" t="n">
        <f aca="false">IF(2048&gt;Inputs!$B$176,0,Z47+Z49)</f>
        <v>0</v>
      </c>
      <c r="AA50" s="21" t="n">
        <f aca="false">IF(2049&gt;Inputs!$B$176,0,AA47+AA49)</f>
        <v>0</v>
      </c>
      <c r="AB50" s="21" t="n">
        <f aca="false">IF(2050&gt;Inputs!$B$176,0,AB47+AB49)</f>
        <v>0</v>
      </c>
      <c r="AC50" s="21" t="n">
        <f aca="false">IF(2051&gt;Inputs!$B$176,0,AC47+AC49)</f>
        <v>0</v>
      </c>
      <c r="AD50" s="21" t="n">
        <f aca="false">IF(2052&gt;Inputs!$B$176,0,AD47+AD49)</f>
        <v>0</v>
      </c>
      <c r="AE50" s="21" t="n">
        <f aca="false">IF(2053&gt;Inputs!$B$176,0,AE47+AE49)</f>
        <v>0</v>
      </c>
      <c r="AF50" s="21" t="n">
        <f aca="false">IF(2054&gt;Inputs!$B$176,0,AF47+AF49)</f>
        <v>0</v>
      </c>
      <c r="AG50" s="21" t="n">
        <f aca="false">IF(2055&gt;Inputs!$B$176,0,AG47+AG49)</f>
        <v>0</v>
      </c>
      <c r="AH50" s="21" t="n">
        <f aca="false">IF(2056&gt;Inputs!$B$176,0,AH47+AH49)</f>
        <v>0</v>
      </c>
      <c r="AI50" s="21" t="n">
        <f aca="false">IF(2057&gt;Inputs!$B$176,0,AI47+AI49)</f>
        <v>0</v>
      </c>
      <c r="AJ50" s="21" t="n">
        <f aca="false">IF(2058&gt;Inputs!$B$176,0,AJ47+AJ49)</f>
        <v>0</v>
      </c>
      <c r="AK50" s="21" t="n">
        <f aca="false">IF(2059&gt;Inputs!$B$176,0,AK47+AK49)</f>
        <v>0</v>
      </c>
      <c r="AL50" s="21" t="n">
        <f aca="false">IF(2060&gt;Inputs!$B$176,0,AL47+AL49)</f>
        <v>0</v>
      </c>
      <c r="AM50" s="21" t="n">
        <f aca="false">IF(2061&gt;Inputs!$B$176,0,AM47+AM49)</f>
        <v>0</v>
      </c>
      <c r="AN50" s="21" t="n">
        <f aca="false">IF(2062&gt;Inputs!$B$176,0,AN47+AN49)</f>
        <v>0</v>
      </c>
      <c r="AO50" s="21" t="n">
        <f aca="false">IF(2063&gt;Inputs!$B$176,0,AO47+AO49)</f>
        <v>0</v>
      </c>
      <c r="AP50" s="21" t="n">
        <f aca="false">IF(2064&gt;Inputs!$B$176,0,AP47+AP49)</f>
        <v>0</v>
      </c>
      <c r="AQ50" s="21" t="n">
        <f aca="false">IF(2065&gt;Inputs!$B$176,0,AQ47+AQ49)</f>
        <v>0</v>
      </c>
      <c r="AR50" s="21" t="n">
        <f aca="false">IF(2066&gt;Inputs!$B$176,0,AR47+AR49)</f>
        <v>0</v>
      </c>
      <c r="AS50" s="21" t="n">
        <f aca="false">IF(2067&gt;Inputs!$B$176,0,AS47+AS49)</f>
        <v>0</v>
      </c>
      <c r="AT50" s="21" t="n">
        <f aca="false">IF(2068&gt;Inputs!$B$176,0,AT47+AT49)</f>
        <v>0</v>
      </c>
      <c r="AU50" s="21" t="n">
        <f aca="false">IF(2069&gt;Inputs!$B$176,0,AU47+AU49)</f>
        <v>0</v>
      </c>
      <c r="AV50" s="21" t="n">
        <f aca="false">IF(2070&gt;Inputs!$B$176,0,AV47+AV49)</f>
        <v>0</v>
      </c>
      <c r="AW50" s="21" t="n">
        <f aca="false">IF(2071&gt;Inputs!$B$176,0,AW47+AW49)</f>
        <v>0</v>
      </c>
      <c r="AX50" s="21" t="n">
        <f aca="false">IF(2072&gt;Inputs!$B$176,0,AX47+AX49)</f>
        <v>0</v>
      </c>
      <c r="AY50" s="21" t="n">
        <f aca="false">IF(2073&gt;Inputs!$B$176,0,AY47+AY49)</f>
        <v>0</v>
      </c>
      <c r="AZ50" s="21" t="n">
        <f aca="false">IF(2074&gt;Inputs!$B$176,0,AZ47+AZ49)</f>
        <v>0</v>
      </c>
    </row>
    <row r="52" customFormat="false" ht="15" hidden="false" customHeight="true" outlineLevel="0" collapsed="false">
      <c r="A52" s="11" t="s">
        <v>610</v>
      </c>
      <c r="B52" s="47"/>
      <c r="C52" s="47"/>
    </row>
    <row r="53" customFormat="false" ht="15" hidden="false" customHeight="true" outlineLevel="0" collapsed="false">
      <c r="A53" s="6" t="s">
        <v>611</v>
      </c>
      <c r="C53" s="21" t="n">
        <f aca="false">IFERROR(C22,0)</f>
        <v>200.252792511993</v>
      </c>
    </row>
    <row r="54" customFormat="false" ht="15" hidden="false" customHeight="true" outlineLevel="0" collapsed="false">
      <c r="A54" s="6" t="s">
        <v>612</v>
      </c>
      <c r="C54" s="21" t="n">
        <f aca="false">IFERROR(J44,0)</f>
        <v>40.4164767951104</v>
      </c>
    </row>
    <row r="55" customFormat="false" ht="15" hidden="false" customHeight="true" outlineLevel="0" collapsed="false">
      <c r="A55" s="6" t="s">
        <v>613</v>
      </c>
      <c r="C55" s="52" t="n">
        <f aca="false">IFERROR(IF(J31=0,0,J44/J31),0)</f>
        <v>0.688895620093387</v>
      </c>
    </row>
    <row r="56" customFormat="false" ht="15" hidden="false" customHeight="true" outlineLevel="0" collapsed="false">
      <c r="A56" s="6" t="s">
        <v>614</v>
      </c>
      <c r="C56" s="52" t="n">
        <f aca="false">IFERROR(J44/C22,0)</f>
        <v>0.201827281847717</v>
      </c>
    </row>
    <row r="57" customFormat="false" ht="15" hidden="false" customHeight="true" outlineLevel="0" collapsed="false">
      <c r="A57" s="6" t="s">
        <v>615</v>
      </c>
      <c r="C57" s="52" t="n">
        <f aca="false">IFERROR(IRR(D47:AZ47),0)</f>
        <v>0.185095085843599</v>
      </c>
    </row>
    <row r="58" customFormat="false" ht="15" hidden="false" customHeight="true" outlineLevel="0" collapsed="false">
      <c r="A58" s="6" t="s">
        <v>616</v>
      </c>
      <c r="C58" s="52" t="n">
        <f aca="false">IFERROR(IRR(D50:AZ50),0)</f>
        <v>0.199019344159026</v>
      </c>
    </row>
    <row r="59" customFormat="false" ht="15" hidden="false" customHeight="true" outlineLevel="0" collapsed="false">
      <c r="A59" s="6" t="s">
        <v>617</v>
      </c>
      <c r="C59" s="53" t="str">
        <f aca="false">IFERROR(INDEX(D4:AZ4,MATCH(TRUE(),INDEX(D48:AZ48&gt;0,0),0)),0)</f>
        <v>2034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4"/>
    <col collapsed="false" customWidth="true" hidden="false" outlineLevel="0" max="2" min="2" style="1" width="14"/>
    <col collapsed="false" customWidth="true" hidden="false" outlineLevel="0" max="3" min="3" style="1" width="10"/>
    <col collapsed="false" customWidth="true" hidden="false" outlineLevel="0" max="5" min="4" style="1" width="16"/>
    <col collapsed="false" customWidth="true" hidden="false" outlineLevel="0" max="7" min="6" style="1" width="18"/>
  </cols>
  <sheetData>
    <row r="1" customFormat="false" ht="17.25" hidden="false" customHeight="true" outlineLevel="0" collapsed="false">
      <c r="A1" s="8" t="s">
        <v>641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customFormat="false" ht="15" hidden="false" customHeight="true" outlineLevel="0" collapsed="false">
      <c r="A2" s="10" t="s">
        <v>642</v>
      </c>
    </row>
    <row r="4" customFormat="false" ht="43.5" hidden="false" customHeight="true" outlineLevel="0" collapsed="false">
      <c r="A4" s="77" t="s">
        <v>643</v>
      </c>
      <c r="B4" s="78" t="s">
        <v>644</v>
      </c>
      <c r="C4" s="78" t="s">
        <v>645</v>
      </c>
      <c r="D4" s="78" t="s">
        <v>646</v>
      </c>
      <c r="E4" s="78" t="s">
        <v>647</v>
      </c>
      <c r="F4" s="78" t="s">
        <v>648</v>
      </c>
      <c r="G4" s="78" t="s">
        <v>649</v>
      </c>
    </row>
    <row r="5" customFormat="false" ht="15" hidden="false" customHeight="true" outlineLevel="0" collapsed="false">
      <c r="A5" s="13" t="s">
        <v>650</v>
      </c>
      <c r="B5" s="23" t="n">
        <v>12854</v>
      </c>
      <c r="C5" s="79" t="n">
        <f aca="false">B5/$B$33</f>
        <v>0.238103176808373</v>
      </c>
      <c r="D5" s="80" t="n">
        <f aca="false">C5*Inputs!$B$147</f>
        <v>9190.06831527276</v>
      </c>
      <c r="E5" s="23" t="n">
        <v>1200</v>
      </c>
      <c r="F5" s="48" t="n">
        <f aca="false">D5*E5/1000000</f>
        <v>11.0280819783273</v>
      </c>
      <c r="G5" s="48" t="n">
        <f aca="false">B5*E5/1000000</f>
        <v>15.4248</v>
      </c>
    </row>
    <row r="6" customFormat="false" ht="15" hidden="false" customHeight="true" outlineLevel="0" collapsed="false">
      <c r="A6" s="13" t="s">
        <v>651</v>
      </c>
      <c r="B6" s="23" t="n">
        <v>5502</v>
      </c>
      <c r="C6" s="79" t="n">
        <f aca="false">B6/$B$33</f>
        <v>0.101917199222006</v>
      </c>
      <c r="D6" s="80" t="n">
        <f aca="false">C6*Inputs!$B$147</f>
        <v>3933.69813837177</v>
      </c>
      <c r="E6" s="23" t="n">
        <v>1800</v>
      </c>
      <c r="F6" s="48" t="n">
        <f aca="false">D6*E6/1000000</f>
        <v>7.08065664906919</v>
      </c>
      <c r="G6" s="48" t="n">
        <f aca="false">B6*E6/1000000</f>
        <v>9.9036</v>
      </c>
    </row>
    <row r="7" customFormat="false" ht="15" hidden="false" customHeight="true" outlineLevel="0" collapsed="false">
      <c r="A7" s="13" t="s">
        <v>652</v>
      </c>
      <c r="B7" s="23" t="n">
        <v>4498</v>
      </c>
      <c r="C7" s="79" t="n">
        <f aca="false">B7/$B$33</f>
        <v>0.0833194405853478</v>
      </c>
      <c r="D7" s="80" t="n">
        <f aca="false">C7*Inputs!$B$147</f>
        <v>3215.88044827267</v>
      </c>
      <c r="E7" s="23" t="n">
        <v>1400</v>
      </c>
      <c r="F7" s="48" t="n">
        <f aca="false">D7*E7/1000000</f>
        <v>4.50223262758174</v>
      </c>
      <c r="G7" s="48" t="n">
        <f aca="false">B7*E7/1000000</f>
        <v>6.2972</v>
      </c>
    </row>
    <row r="8" customFormat="false" ht="15" hidden="false" customHeight="true" outlineLevel="0" collapsed="false">
      <c r="A8" s="13" t="s">
        <v>653</v>
      </c>
      <c r="B8" s="23" t="n">
        <v>3950</v>
      </c>
      <c r="C8" s="79" t="n">
        <f aca="false">B8/$B$33</f>
        <v>0.0731684727239048</v>
      </c>
      <c r="D8" s="80" t="n">
        <f aca="false">C8*Inputs!$B$147</f>
        <v>2824.08354172455</v>
      </c>
      <c r="E8" s="23" t="n">
        <v>1100</v>
      </c>
      <c r="F8" s="48" t="n">
        <f aca="false">D8*E8/1000000</f>
        <v>3.10649189589701</v>
      </c>
      <c r="G8" s="48" t="n">
        <f aca="false">B8*E8/1000000</f>
        <v>4.345</v>
      </c>
    </row>
    <row r="9" customFormat="false" ht="15" hidden="false" customHeight="true" outlineLevel="0" collapsed="false">
      <c r="A9" s="13" t="s">
        <v>654</v>
      </c>
      <c r="B9" s="23" t="n">
        <v>3390</v>
      </c>
      <c r="C9" s="79" t="n">
        <f aca="false">B9/$B$33</f>
        <v>0.062795220894693</v>
      </c>
      <c r="D9" s="80" t="n">
        <f aca="false">C9*Inputs!$B$147</f>
        <v>2423.70714087246</v>
      </c>
      <c r="E9" s="23" t="n">
        <v>500</v>
      </c>
      <c r="F9" s="48" t="n">
        <f aca="false">D9*E9/1000000</f>
        <v>1.21185357043623</v>
      </c>
      <c r="G9" s="48" t="n">
        <f aca="false">B9*E9/1000000</f>
        <v>1.695</v>
      </c>
    </row>
    <row r="10" customFormat="false" ht="15" hidden="false" customHeight="true" outlineLevel="0" collapsed="false">
      <c r="A10" s="13" t="s">
        <v>655</v>
      </c>
      <c r="B10" s="23" t="n">
        <v>3056</v>
      </c>
      <c r="C10" s="79" t="n">
        <f aca="false">B10/$B$33</f>
        <v>0.0566083171251274</v>
      </c>
      <c r="D10" s="80" t="n">
        <f aca="false">C10*Inputs!$B$147</f>
        <v>2184.91121607854</v>
      </c>
      <c r="E10" s="23" t="n">
        <v>900</v>
      </c>
      <c r="F10" s="48" t="n">
        <f aca="false">D10*E10/1000000</f>
        <v>1.96642009447069</v>
      </c>
      <c r="G10" s="48" t="n">
        <f aca="false">B10*E10/1000000</f>
        <v>2.7504</v>
      </c>
    </row>
    <row r="11" customFormat="false" ht="15" hidden="false" customHeight="true" outlineLevel="0" collapsed="false">
      <c r="A11" s="13" t="s">
        <v>656</v>
      </c>
      <c r="B11" s="23" t="n">
        <v>2316</v>
      </c>
      <c r="C11" s="79" t="n">
        <f aca="false">B11/$B$33</f>
        <v>0.0429008057793832</v>
      </c>
      <c r="D11" s="80" t="n">
        <f aca="false">C11*Inputs!$B$147</f>
        <v>1655.84240066685</v>
      </c>
      <c r="E11" s="23" t="n">
        <v>1400</v>
      </c>
      <c r="F11" s="48" t="n">
        <f aca="false">D11*E11/1000000</f>
        <v>2.31817936093359</v>
      </c>
      <c r="G11" s="48" t="n">
        <f aca="false">B11*E11/1000000</f>
        <v>3.2424</v>
      </c>
    </row>
    <row r="12" customFormat="false" ht="15" hidden="false" customHeight="true" outlineLevel="0" collapsed="false">
      <c r="A12" s="13" t="s">
        <v>657</v>
      </c>
      <c r="B12" s="23" t="n">
        <v>1741</v>
      </c>
      <c r="C12" s="79" t="n">
        <f aca="false">B12/$B$33</f>
        <v>0.0322496989904603</v>
      </c>
      <c r="D12" s="80" t="n">
        <f aca="false">C12*Inputs!$B$147</f>
        <v>1244.7416319348</v>
      </c>
      <c r="E12" s="23" t="n">
        <v>1200</v>
      </c>
      <c r="F12" s="48" t="n">
        <f aca="false">D12*E12/1000000</f>
        <v>1.49368995832176</v>
      </c>
      <c r="G12" s="48" t="n">
        <f aca="false">B12*E12/1000000</f>
        <v>2.0892</v>
      </c>
    </row>
    <row r="13" customFormat="false" ht="15" hidden="false" customHeight="true" outlineLevel="0" collapsed="false">
      <c r="A13" s="13" t="s">
        <v>658</v>
      </c>
      <c r="B13" s="23" t="n">
        <v>1502</v>
      </c>
      <c r="C13" s="79" t="n">
        <f aca="false">B13/$B$33</f>
        <v>0.0278225432990646</v>
      </c>
      <c r="D13" s="80" t="n">
        <f aca="false">C13*Inputs!$B$147</f>
        <v>1073.86670371399</v>
      </c>
      <c r="E13" s="23" t="n">
        <v>600</v>
      </c>
      <c r="F13" s="48" t="n">
        <f aca="false">D13*E13/1000000</f>
        <v>0.644320022228397</v>
      </c>
      <c r="G13" s="48" t="n">
        <f aca="false">B13*E13/1000000</f>
        <v>0.9012</v>
      </c>
    </row>
    <row r="14" customFormat="false" ht="15" hidden="false" customHeight="true" outlineLevel="0" collapsed="false">
      <c r="A14" s="13" t="s">
        <v>659</v>
      </c>
      <c r="B14" s="23" t="n">
        <v>1307</v>
      </c>
      <c r="C14" s="79" t="n">
        <f aca="false">B14/$B$33</f>
        <v>0.0242104288228212</v>
      </c>
      <c r="D14" s="80" t="n">
        <f aca="false">C14*Inputs!$B$147</f>
        <v>934.449921274428</v>
      </c>
      <c r="E14" s="23" t="n">
        <v>600</v>
      </c>
      <c r="F14" s="48" t="n">
        <f aca="false">D14*E14/1000000</f>
        <v>0.560669952764657</v>
      </c>
      <c r="G14" s="48" t="n">
        <f aca="false">B14*E14/1000000</f>
        <v>0.7842</v>
      </c>
    </row>
    <row r="15" customFormat="false" ht="15" hidden="false" customHeight="true" outlineLevel="0" collapsed="false">
      <c r="A15" s="13" t="s">
        <v>660</v>
      </c>
      <c r="B15" s="23" t="n">
        <v>1186</v>
      </c>
      <c r="C15" s="79" t="n">
        <f aca="false">B15/$B$33</f>
        <v>0.0219690654811522</v>
      </c>
      <c r="D15" s="80" t="n">
        <f aca="false">C15*Inputs!$B$147</f>
        <v>847.940020376031</v>
      </c>
      <c r="E15" s="23" t="n">
        <v>1200</v>
      </c>
      <c r="F15" s="48" t="n">
        <f aca="false">D15*E15/1000000</f>
        <v>1.01752802445124</v>
      </c>
      <c r="G15" s="48" t="n">
        <f aca="false">B15*E15/1000000</f>
        <v>1.4232</v>
      </c>
    </row>
    <row r="16" customFormat="false" ht="15" hidden="false" customHeight="true" outlineLevel="0" collapsed="false">
      <c r="A16" s="13" t="s">
        <v>661</v>
      </c>
      <c r="B16" s="23" t="n">
        <v>1074</v>
      </c>
      <c r="C16" s="79" t="n">
        <f aca="false">B16/$B$33</f>
        <v>0.0198944151153098</v>
      </c>
      <c r="D16" s="80" t="n">
        <f aca="false">C16*Inputs!$B$147</f>
        <v>767.864740205613</v>
      </c>
      <c r="E16" s="23" t="n">
        <v>800</v>
      </c>
      <c r="F16" s="48" t="n">
        <f aca="false">D16*E16/1000000</f>
        <v>0.61429179216449</v>
      </c>
      <c r="G16" s="48" t="n">
        <f aca="false">B16*E16/1000000</f>
        <v>0.8592</v>
      </c>
    </row>
    <row r="17" customFormat="false" ht="15" hidden="false" customHeight="true" outlineLevel="0" collapsed="false">
      <c r="A17" s="13" t="s">
        <v>662</v>
      </c>
      <c r="B17" s="23" t="n">
        <v>1048</v>
      </c>
      <c r="C17" s="79" t="n">
        <f aca="false">B17/$B$33</f>
        <v>0.0194127998518107</v>
      </c>
      <c r="D17" s="80" t="n">
        <f aca="false">C17*Inputs!$B$147</f>
        <v>749.275835880337</v>
      </c>
      <c r="E17" s="23" t="n">
        <v>143</v>
      </c>
      <c r="F17" s="48" t="n">
        <f aca="false">D17*E17/1000000</f>
        <v>0.107146444530888</v>
      </c>
      <c r="G17" s="48" t="n">
        <f aca="false">B17*E17/1000000</f>
        <v>0.149864</v>
      </c>
    </row>
    <row r="18" customFormat="false" ht="15" hidden="false" customHeight="true" outlineLevel="0" collapsed="false">
      <c r="A18" s="13" t="s">
        <v>663</v>
      </c>
      <c r="B18" s="23" t="n">
        <v>911</v>
      </c>
      <c r="C18" s="79" t="n">
        <f aca="false">B18/$B$33</f>
        <v>0.0168750578864499</v>
      </c>
      <c r="D18" s="80" t="n">
        <f aca="false">C18*Inputs!$B$147</f>
        <v>651.326609243308</v>
      </c>
      <c r="E18" s="23" t="n">
        <v>1900</v>
      </c>
      <c r="F18" s="48" t="n">
        <f aca="false">D18*E18/1000000</f>
        <v>1.23752055756229</v>
      </c>
      <c r="G18" s="48" t="n">
        <f aca="false">B18*E18/1000000</f>
        <v>1.7309</v>
      </c>
    </row>
    <row r="19" customFormat="false" ht="15" hidden="false" customHeight="true" outlineLevel="0" collapsed="false">
      <c r="A19" s="13" t="s">
        <v>664</v>
      </c>
      <c r="B19" s="23" t="n">
        <v>868</v>
      </c>
      <c r="C19" s="79" t="n">
        <f aca="false">B19/$B$33</f>
        <v>0.0160785403352783</v>
      </c>
      <c r="D19" s="80" t="n">
        <f aca="false">C19*Inputs!$B$147</f>
        <v>620.583421320737</v>
      </c>
      <c r="E19" s="23" t="n">
        <v>1400</v>
      </c>
      <c r="F19" s="48" t="n">
        <f aca="false">D19*E19/1000000</f>
        <v>0.868816789849032</v>
      </c>
      <c r="G19" s="48" t="n">
        <f aca="false">B19*E19/1000000</f>
        <v>1.2152</v>
      </c>
    </row>
    <row r="20" customFormat="false" ht="15" hidden="false" customHeight="true" outlineLevel="0" collapsed="false">
      <c r="A20" s="13" t="s">
        <v>665</v>
      </c>
      <c r="B20" s="23" t="n">
        <v>835</v>
      </c>
      <c r="C20" s="79" t="n">
        <f aca="false">B20/$B$33</f>
        <v>0.0154672594239141</v>
      </c>
      <c r="D20" s="80" t="n">
        <f aca="false">C20*Inputs!$B$147</f>
        <v>596.989811984811</v>
      </c>
      <c r="E20" s="23" t="n">
        <v>1400</v>
      </c>
      <c r="F20" s="48" t="n">
        <f aca="false">D20*E20/1000000</f>
        <v>0.835785736778735</v>
      </c>
      <c r="G20" s="48" t="n">
        <f aca="false">B20*E20/1000000</f>
        <v>1.169</v>
      </c>
    </row>
    <row r="21" customFormat="false" ht="15" hidden="false" customHeight="true" outlineLevel="0" collapsed="false">
      <c r="A21" s="13" t="s">
        <v>666</v>
      </c>
      <c r="B21" s="23" t="n">
        <v>796</v>
      </c>
      <c r="C21" s="79" t="n">
        <f aca="false">B21/$B$33</f>
        <v>0.0147448365286654</v>
      </c>
      <c r="D21" s="80" t="n">
        <f aca="false">C21*Inputs!$B$147</f>
        <v>569.106455496897</v>
      </c>
      <c r="E21" s="23" t="n">
        <v>1000</v>
      </c>
      <c r="F21" s="48" t="n">
        <f aca="false">D21*E21/1000000</f>
        <v>0.569106455496897</v>
      </c>
      <c r="G21" s="48" t="n">
        <f aca="false">B21*E21/1000000</f>
        <v>0.796</v>
      </c>
    </row>
    <row r="22" customFormat="false" ht="15" hidden="false" customHeight="true" outlineLevel="0" collapsed="false">
      <c r="A22" s="13" t="s">
        <v>667</v>
      </c>
      <c r="B22" s="23" t="n">
        <v>715</v>
      </c>
      <c r="C22" s="79" t="n">
        <f aca="false">B22/$B$33</f>
        <v>0.0132444197462258</v>
      </c>
      <c r="D22" s="80" t="n">
        <f aca="false">C22*Inputs!$B$147</f>
        <v>511.194868945077</v>
      </c>
      <c r="E22" s="23" t="n">
        <v>900</v>
      </c>
      <c r="F22" s="48" t="n">
        <f aca="false">D22*E22/1000000</f>
        <v>0.46007538205057</v>
      </c>
      <c r="G22" s="48" t="n">
        <f aca="false">B22*E22/1000000</f>
        <v>0.6435</v>
      </c>
    </row>
    <row r="23" customFormat="false" ht="15" hidden="false" customHeight="true" outlineLevel="0" collapsed="false">
      <c r="A23" s="13" t="s">
        <v>668</v>
      </c>
      <c r="B23" s="23" t="n">
        <v>624</v>
      </c>
      <c r="C23" s="79" t="n">
        <f aca="false">B23/$B$33</f>
        <v>0.0115587663239789</v>
      </c>
      <c r="D23" s="80" t="n">
        <f aca="false">C23*Inputs!$B$147</f>
        <v>446.133703806613</v>
      </c>
      <c r="E23" s="23" t="n">
        <v>1200</v>
      </c>
      <c r="F23" s="48" t="n">
        <f aca="false">D23*E23/1000000</f>
        <v>0.535360444567936</v>
      </c>
      <c r="G23" s="48" t="n">
        <f aca="false">B23*E23/1000000</f>
        <v>0.7488</v>
      </c>
    </row>
    <row r="24" customFormat="false" ht="15" hidden="false" customHeight="true" outlineLevel="0" collapsed="false">
      <c r="A24" s="13" t="s">
        <v>669</v>
      </c>
      <c r="B24" s="23" t="n">
        <v>500</v>
      </c>
      <c r="C24" s="79" t="n">
        <f aca="false">B24/$B$33</f>
        <v>0.00926183199036769</v>
      </c>
      <c r="D24" s="80" t="n">
        <f aca="false">C24*Inputs!$B$147</f>
        <v>357.478929332222</v>
      </c>
      <c r="E24" s="23" t="n">
        <v>900</v>
      </c>
      <c r="F24" s="48" t="n">
        <f aca="false">D24*E24/1000000</f>
        <v>0.321731036399</v>
      </c>
      <c r="G24" s="48" t="n">
        <f aca="false">B24*E24/1000000</f>
        <v>0.45</v>
      </c>
    </row>
    <row r="25" customFormat="false" ht="15" hidden="false" customHeight="true" outlineLevel="0" collapsed="false">
      <c r="A25" s="13" t="s">
        <v>670</v>
      </c>
      <c r="B25" s="23" t="n">
        <v>449</v>
      </c>
      <c r="C25" s="79" t="n">
        <f aca="false">B25/$B$33</f>
        <v>0.00831712512735019</v>
      </c>
      <c r="D25" s="80" t="n">
        <f aca="false">C25*Inputs!$B$147</f>
        <v>321.016078540335</v>
      </c>
      <c r="E25" s="23" t="n">
        <v>1200</v>
      </c>
      <c r="F25" s="48" t="n">
        <f aca="false">D25*E25/1000000</f>
        <v>0.385219294248402</v>
      </c>
      <c r="G25" s="48" t="n">
        <f aca="false">B25*E25/1000000</f>
        <v>0.5388</v>
      </c>
    </row>
    <row r="26" customFormat="false" ht="15" hidden="false" customHeight="true" outlineLevel="0" collapsed="false">
      <c r="A26" s="13" t="s">
        <v>671</v>
      </c>
      <c r="B26" s="23" t="n">
        <v>201</v>
      </c>
      <c r="C26" s="79" t="n">
        <f aca="false">B26/$B$33</f>
        <v>0.00372325646012781</v>
      </c>
      <c r="D26" s="80" t="n">
        <f aca="false">C26*Inputs!$B$147</f>
        <v>143.706529591553</v>
      </c>
      <c r="E26" s="23" t="n">
        <v>1400</v>
      </c>
      <c r="F26" s="48" t="n">
        <f aca="false">D26*E26/1000000</f>
        <v>0.201189141428175</v>
      </c>
      <c r="G26" s="48" t="n">
        <f aca="false">B26*E26/1000000</f>
        <v>0.2814</v>
      </c>
    </row>
    <row r="27" customFormat="false" ht="15" hidden="false" customHeight="true" outlineLevel="0" collapsed="false">
      <c r="A27" s="13" t="s">
        <v>672</v>
      </c>
      <c r="B27" s="23" t="n">
        <v>188</v>
      </c>
      <c r="C27" s="79" t="n">
        <f aca="false">B27/$B$33</f>
        <v>0.00348244882837825</v>
      </c>
      <c r="D27" s="80" t="n">
        <f aca="false">C27*Inputs!$B$147</f>
        <v>134.412077428915</v>
      </c>
      <c r="E27" s="23" t="n">
        <v>1700</v>
      </c>
      <c r="F27" s="48" t="n">
        <f aca="false">D27*E27/1000000</f>
        <v>0.228500531629156</v>
      </c>
      <c r="G27" s="48" t="n">
        <f aca="false">B27*E27/1000000</f>
        <v>0.3196</v>
      </c>
    </row>
    <row r="28" customFormat="false" ht="15" hidden="false" customHeight="true" outlineLevel="0" collapsed="false">
      <c r="A28" s="13" t="s">
        <v>673</v>
      </c>
      <c r="B28" s="23" t="n">
        <v>130</v>
      </c>
      <c r="C28" s="79" t="n">
        <f aca="false">B28/$B$33</f>
        <v>0.0024080763174956</v>
      </c>
      <c r="D28" s="80" t="n">
        <f aca="false">C28*Inputs!$B$147</f>
        <v>92.9445216263777</v>
      </c>
      <c r="E28" s="23" t="n">
        <v>900</v>
      </c>
      <c r="F28" s="48" t="n">
        <f aca="false">D28*E28/1000000</f>
        <v>0.0836500694637399</v>
      </c>
      <c r="G28" s="48" t="n">
        <f aca="false">B28*E28/1000000</f>
        <v>0.117</v>
      </c>
    </row>
    <row r="29" customFormat="false" ht="15" hidden="false" customHeight="true" outlineLevel="0" collapsed="false">
      <c r="A29" s="13" t="s">
        <v>674</v>
      </c>
      <c r="B29" s="23" t="n">
        <v>125</v>
      </c>
      <c r="C29" s="79" t="n">
        <f aca="false">B29/$B$33</f>
        <v>0.00231545799759192</v>
      </c>
      <c r="D29" s="80" t="n">
        <f aca="false">C29*Inputs!$B$147</f>
        <v>89.3697323330555</v>
      </c>
      <c r="E29" s="23" t="n">
        <v>1600</v>
      </c>
      <c r="F29" s="48" t="n">
        <f aca="false">D29*E29/1000000</f>
        <v>0.142991571732889</v>
      </c>
      <c r="G29" s="48" t="n">
        <f aca="false">B29*E29/1000000</f>
        <v>0.2</v>
      </c>
    </row>
    <row r="30" customFormat="false" ht="15" hidden="false" customHeight="true" outlineLevel="0" collapsed="false">
      <c r="A30" s="13" t="s">
        <v>675</v>
      </c>
      <c r="B30" s="23" t="n">
        <v>67</v>
      </c>
      <c r="C30" s="79" t="n">
        <f aca="false">B30/$B$33</f>
        <v>0.00124108548670927</v>
      </c>
      <c r="D30" s="80" t="n">
        <f aca="false">C30*Inputs!$B$147</f>
        <v>47.9021765305177</v>
      </c>
      <c r="E30" s="23" t="n">
        <v>1600</v>
      </c>
      <c r="F30" s="48" t="n">
        <f aca="false">D30*E30/1000000</f>
        <v>0.0766434824488284</v>
      </c>
      <c r="G30" s="48" t="n">
        <f aca="false">B30*E30/1000000</f>
        <v>0.1072</v>
      </c>
    </row>
    <row r="31" customFormat="false" ht="15" hidden="false" customHeight="true" outlineLevel="0" collapsed="false">
      <c r="A31" s="13" t="s">
        <v>676</v>
      </c>
      <c r="B31" s="23" t="n">
        <v>65</v>
      </c>
      <c r="C31" s="79" t="n">
        <f aca="false">B31/$B$33</f>
        <v>0.0012040381587478</v>
      </c>
      <c r="D31" s="80" t="n">
        <f aca="false">C31*Inputs!$B$147</f>
        <v>46.4722608131888</v>
      </c>
      <c r="E31" s="23" t="n">
        <v>1000</v>
      </c>
      <c r="F31" s="48" t="n">
        <f aca="false">D31*E31/1000000</f>
        <v>0.0464722608131889</v>
      </c>
      <c r="G31" s="48" t="n">
        <f aca="false">B31*E31/1000000</f>
        <v>0.065</v>
      </c>
    </row>
    <row r="32" customFormat="false" ht="15" hidden="false" customHeight="true" outlineLevel="0" collapsed="false">
      <c r="A32" s="13" t="s">
        <v>677</v>
      </c>
      <c r="B32" s="23" t="n">
        <v>4087</v>
      </c>
      <c r="C32" s="79" t="n">
        <f aca="false">B32/$B$33</f>
        <v>0.0757062146892655</v>
      </c>
      <c r="D32" s="80" t="n">
        <f aca="false">C32*Inputs!$B$147</f>
        <v>2922.03276836158</v>
      </c>
      <c r="E32" s="23" t="n">
        <v>300</v>
      </c>
      <c r="F32" s="48" t="n">
        <f aca="false">D32*E32/1000000</f>
        <v>0.876609830508475</v>
      </c>
      <c r="G32" s="48" t="n">
        <f aca="false">B32*E32/1000000</f>
        <v>1.2261</v>
      </c>
    </row>
    <row r="33" customFormat="false" ht="15" hidden="false" customHeight="true" outlineLevel="0" collapsed="false">
      <c r="A33" s="6" t="s">
        <v>338</v>
      </c>
      <c r="B33" s="68" t="n">
        <f aca="false">SUM(B5:B32)</f>
        <v>53985</v>
      </c>
      <c r="C33" s="81" t="n">
        <f aca="false">SUM(C5:C32)</f>
        <v>1</v>
      </c>
      <c r="D33" s="68" t="n">
        <f aca="false">SUM(D5:D32)</f>
        <v>38597</v>
      </c>
      <c r="E33" s="68" t="n">
        <f aca="false">F33*1000000/D33</f>
        <v>1101.67202000556</v>
      </c>
      <c r="F33" s="44" t="n">
        <f aca="false">SUM(F5:F32)</f>
        <v>42.5212349561545</v>
      </c>
      <c r="G33" s="44" t="n">
        <f aca="false">SUM(G5:G32)</f>
        <v>59.473764</v>
      </c>
    </row>
    <row r="35" customFormat="false" ht="15" hidden="false" customHeight="true" outlineLevel="0" collapsed="false">
      <c r="A35" s="82" t="s">
        <v>678</v>
      </c>
    </row>
    <row r="36" customFormat="false" ht="15" hidden="false" customHeight="true" outlineLevel="0" collapsed="false">
      <c r="A36" s="13" t="s">
        <v>679</v>
      </c>
      <c r="B36" s="41" t="n">
        <f aca="false">Inputs!$D$150</f>
        <v>48.633526</v>
      </c>
    </row>
    <row r="37" customFormat="false" ht="15" hidden="false" customHeight="true" outlineLevel="0" collapsed="false">
      <c r="A37" s="13" t="s">
        <v>680</v>
      </c>
      <c r="B37" s="41" t="n">
        <f aca="false">B36/0.92</f>
        <v>52.8625282608696</v>
      </c>
    </row>
    <row r="38" customFormat="false" ht="15" hidden="false" customHeight="true" outlineLevel="0" collapsed="false">
      <c r="A38" s="13" t="s">
        <v>681</v>
      </c>
      <c r="B38" s="24" t="n">
        <f aca="false">B37/G33</f>
        <v>0.888837778299513</v>
      </c>
    </row>
    <row r="39" customFormat="false" ht="15" hidden="false" customHeight="true" outlineLevel="0" collapsed="false">
      <c r="A39" s="13" t="s">
        <v>682</v>
      </c>
      <c r="B39" s="83" t="n">
        <f aca="false">Inputs!$B$148</f>
        <v>0.714931372367422</v>
      </c>
    </row>
    <row r="40" customFormat="false" ht="15" hidden="false" customHeight="true" outlineLevel="0" collapsed="false">
      <c r="A40" s="6" t="s">
        <v>683</v>
      </c>
      <c r="B40" s="21" t="n">
        <f aca="false">Inputs!$D$150*Inputs!$B$148</f>
        <v>34.7696334862467</v>
      </c>
    </row>
    <row r="41" customFormat="false" ht="15" hidden="false" customHeight="true" outlineLevel="0" collapsed="false">
      <c r="A41" s="6" t="s">
        <v>684</v>
      </c>
      <c r="B41" s="21" t="n">
        <f aca="false">Inputs!$D$157</f>
        <v>58.6685059626762</v>
      </c>
    </row>
    <row r="42" customFormat="false" ht="15" hidden="false" customHeight="true" outlineLevel="0" collapsed="false">
      <c r="A42" s="13" t="s">
        <v>685</v>
      </c>
      <c r="B42" s="19" t="n">
        <f aca="false">B41*1000000/(Inputs!$B$147*0.92)</f>
        <v>1652.20393234764</v>
      </c>
    </row>
    <row r="43" customFormat="false" ht="15" hidden="false" customHeight="true" outlineLevel="0" collapsed="false">
      <c r="A43" s="13" t="s">
        <v>686</v>
      </c>
      <c r="B43" s="19" t="n">
        <f aca="false">B41*1000000/Inputs!$B$147</f>
        <v>1520.02761775983</v>
      </c>
    </row>
    <row r="44" customFormat="false" ht="15" hidden="false" customHeight="true" outlineLevel="0" collapsed="false">
      <c r="A44" s="13" t="s">
        <v>687</v>
      </c>
      <c r="B44" s="19" t="n">
        <f aca="false">B40*1000000/(Inputs!$B$147*0.92)</f>
        <v>979.171434991194</v>
      </c>
    </row>
    <row r="46" customFormat="false" ht="15" hidden="false" customHeight="true" outlineLevel="0" collapsed="false">
      <c r="A46" s="82" t="s">
        <v>688</v>
      </c>
    </row>
    <row r="47" customFormat="false" ht="15" hidden="false" customHeight="true" outlineLevel="0" collapsed="false">
      <c r="A47" s="84" t="s">
        <v>689</v>
      </c>
    </row>
    <row r="48" customFormat="false" ht="15" hidden="false" customHeight="true" outlineLevel="0" collapsed="false">
      <c r="A48" s="84" t="s">
        <v>690</v>
      </c>
    </row>
    <row r="49" customFormat="false" ht="15" hidden="false" customHeight="true" outlineLevel="0" collapsed="false">
      <c r="A49" s="84" t="s">
        <v>691</v>
      </c>
    </row>
    <row r="50" customFormat="false" ht="15" hidden="false" customHeight="true" outlineLevel="0" collapsed="false">
      <c r="A50" s="84" t="s">
        <v>692</v>
      </c>
    </row>
    <row r="51" customFormat="false" ht="15" hidden="false" customHeight="true" outlineLevel="0" collapsed="false">
      <c r="A51" s="84" t="s">
        <v>693</v>
      </c>
    </row>
    <row r="53" customFormat="false" ht="15" hidden="false" customHeight="true" outlineLevel="0" collapsed="false">
      <c r="A53" s="10" t="s">
        <v>694</v>
      </c>
    </row>
    <row r="54" customFormat="false" ht="15" hidden="false" customHeight="true" outlineLevel="0" collapsed="false">
      <c r="A54" s="10" t="s">
        <v>695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Z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6"/>
    <col collapsed="false" customWidth="true" hidden="false" outlineLevel="0" max="2" min="2" style="1" width="26"/>
    <col collapsed="false" customWidth="true" hidden="false" outlineLevel="0" max="3" min="3" style="1" width="11"/>
    <col collapsed="false" customWidth="true" hidden="false" outlineLevel="0" max="52" min="4" style="1" width="9.52"/>
  </cols>
  <sheetData>
    <row r="1" customFormat="false" ht="17.25" hidden="false" customHeight="true" outlineLevel="0" collapsed="false">
      <c r="A1" s="8" t="s">
        <v>696</v>
      </c>
      <c r="B1" s="9"/>
      <c r="C1" s="9"/>
      <c r="D1" s="9"/>
      <c r="E1" s="9"/>
      <c r="F1" s="9"/>
      <c r="G1" s="9"/>
      <c r="H1" s="9"/>
      <c r="I1" s="9"/>
      <c r="J1" s="9"/>
      <c r="K1" s="9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customFormat="false" ht="15" hidden="false" customHeight="true" outlineLevel="0" collapsed="false">
      <c r="A2" s="10" t="s">
        <v>697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customFormat="false" ht="15" hidden="false" customHeight="tru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customFormat="false" ht="15" hidden="false" customHeight="true" outlineLevel="0" collapsed="false">
      <c r="A4" s="6" t="s">
        <v>336</v>
      </c>
      <c r="B4" s="6" t="s">
        <v>337</v>
      </c>
      <c r="C4" s="46" t="s">
        <v>338</v>
      </c>
      <c r="D4" s="39" t="s">
        <v>64</v>
      </c>
      <c r="E4" s="39" t="s">
        <v>65</v>
      </c>
      <c r="F4" s="39" t="s">
        <v>66</v>
      </c>
      <c r="G4" s="39" t="s">
        <v>339</v>
      </c>
      <c r="H4" s="39" t="s">
        <v>340</v>
      </c>
      <c r="I4" s="39" t="s">
        <v>341</v>
      </c>
      <c r="J4" s="39" t="s">
        <v>342</v>
      </c>
      <c r="K4" s="39" t="s">
        <v>343</v>
      </c>
      <c r="L4" s="39" t="s">
        <v>344</v>
      </c>
      <c r="M4" s="39" t="s">
        <v>345</v>
      </c>
      <c r="N4" s="39" t="s">
        <v>346</v>
      </c>
      <c r="O4" s="39" t="s">
        <v>347</v>
      </c>
      <c r="P4" s="39" t="s">
        <v>348</v>
      </c>
      <c r="Q4" s="39" t="s">
        <v>349</v>
      </c>
      <c r="R4" s="39" t="s">
        <v>350</v>
      </c>
      <c r="S4" s="39" t="s">
        <v>351</v>
      </c>
      <c r="T4" s="39" t="s">
        <v>352</v>
      </c>
      <c r="U4" s="39" t="s">
        <v>353</v>
      </c>
      <c r="V4" s="39" t="s">
        <v>354</v>
      </c>
      <c r="W4" s="39" t="s">
        <v>355</v>
      </c>
      <c r="X4" s="39" t="s">
        <v>356</v>
      </c>
      <c r="Y4" s="39" t="s">
        <v>357</v>
      </c>
      <c r="Z4" s="39" t="s">
        <v>358</v>
      </c>
      <c r="AA4" s="39" t="s">
        <v>359</v>
      </c>
      <c r="AB4" s="39" t="s">
        <v>360</v>
      </c>
      <c r="AC4" s="39" t="s">
        <v>361</v>
      </c>
      <c r="AD4" s="39" t="s">
        <v>362</v>
      </c>
      <c r="AE4" s="39" t="s">
        <v>363</v>
      </c>
      <c r="AF4" s="39" t="s">
        <v>364</v>
      </c>
      <c r="AG4" s="39" t="s">
        <v>365</v>
      </c>
      <c r="AH4" s="39" t="s">
        <v>366</v>
      </c>
      <c r="AI4" s="39" t="s">
        <v>367</v>
      </c>
      <c r="AJ4" s="39" t="s">
        <v>368</v>
      </c>
      <c r="AK4" s="39" t="s">
        <v>369</v>
      </c>
      <c r="AL4" s="39" t="s">
        <v>370</v>
      </c>
      <c r="AM4" s="39" t="s">
        <v>371</v>
      </c>
      <c r="AN4" s="39" t="s">
        <v>372</v>
      </c>
      <c r="AO4" s="39" t="s">
        <v>373</v>
      </c>
      <c r="AP4" s="39" t="s">
        <v>374</v>
      </c>
      <c r="AQ4" s="39" t="s">
        <v>375</v>
      </c>
      <c r="AR4" s="39" t="s">
        <v>376</v>
      </c>
      <c r="AS4" s="39" t="s">
        <v>377</v>
      </c>
      <c r="AT4" s="39" t="s">
        <v>378</v>
      </c>
      <c r="AU4" s="39" t="s">
        <v>379</v>
      </c>
      <c r="AV4" s="39" t="s">
        <v>380</v>
      </c>
      <c r="AW4" s="39" t="s">
        <v>381</v>
      </c>
      <c r="AX4" s="39" t="s">
        <v>382</v>
      </c>
      <c r="AY4" s="39" t="s">
        <v>383</v>
      </c>
      <c r="AZ4" s="39" t="s">
        <v>384</v>
      </c>
    </row>
    <row r="5" customFormat="false" ht="15" hidden="false" customHeight="true" outlineLevel="0" collapsed="false">
      <c r="A5" s="11" t="s">
        <v>698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</row>
    <row r="6" customFormat="false" ht="15" hidden="false" customHeight="true" outlineLevel="0" collapsed="false">
      <c r="A6" s="13" t="s">
        <v>699</v>
      </c>
      <c r="B6" s="2"/>
      <c r="C6" s="35" t="n">
        <f aca="false">Returns!$B$8*Inputs!$B$187</f>
        <v>499.289180769194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customFormat="false" ht="15" hidden="false" customHeight="true" outlineLevel="0" collapsed="false">
      <c r="A7" s="13" t="s">
        <v>700</v>
      </c>
      <c r="B7" s="2"/>
      <c r="C7" s="41" t="n">
        <f aca="false">SUM(D7:AZ7)</f>
        <v>499.289180769194</v>
      </c>
      <c r="D7" s="40" t="n">
        <f aca="false">'SPV Cash Flow'!D37*Inputs!$B$187</f>
        <v>38.7832629420656</v>
      </c>
      <c r="E7" s="40" t="n">
        <f aca="false">'SPV Cash Flow'!E37*Inputs!$B$187</f>
        <v>202.861237916539</v>
      </c>
      <c r="F7" s="40" t="n">
        <f aca="false">'SPV Cash Flow'!F37*Inputs!$B$187</f>
        <v>245.256090291446</v>
      </c>
      <c r="G7" s="40" t="n">
        <f aca="false">'SPV Cash Flow'!G37*Inputs!$B$187</f>
        <v>12.3885896191435</v>
      </c>
      <c r="H7" s="40" t="n">
        <f aca="false">'SPV Cash Flow'!H37*Inputs!$B$187</f>
        <v>0</v>
      </c>
      <c r="I7" s="40" t="n">
        <f aca="false">'SPV Cash Flow'!I37*Inputs!$B$187</f>
        <v>0</v>
      </c>
      <c r="J7" s="40" t="n">
        <f aca="false">'SPV Cash Flow'!J37*Inputs!$B$187</f>
        <v>0</v>
      </c>
      <c r="K7" s="40" t="n">
        <f aca="false">'SPV Cash Flow'!K37*Inputs!$B$187</f>
        <v>0</v>
      </c>
      <c r="L7" s="40" t="n">
        <f aca="false">'SPV Cash Flow'!L37*Inputs!$B$187</f>
        <v>0</v>
      </c>
      <c r="M7" s="40" t="n">
        <f aca="false">'SPV Cash Flow'!M37*Inputs!$B$187</f>
        <v>0</v>
      </c>
      <c r="N7" s="40" t="n">
        <f aca="false">'SPV Cash Flow'!N37*Inputs!$B$187</f>
        <v>0</v>
      </c>
      <c r="O7" s="40" t="n">
        <f aca="false">'SPV Cash Flow'!O37*Inputs!$B$187</f>
        <v>0</v>
      </c>
      <c r="P7" s="40" t="n">
        <f aca="false">'SPV Cash Flow'!P37*Inputs!$B$187</f>
        <v>0</v>
      </c>
      <c r="Q7" s="40" t="n">
        <f aca="false">'SPV Cash Flow'!Q37*Inputs!$B$187</f>
        <v>0</v>
      </c>
      <c r="R7" s="40" t="n">
        <f aca="false">'SPV Cash Flow'!R37*Inputs!$B$187</f>
        <v>0</v>
      </c>
      <c r="S7" s="40" t="n">
        <f aca="false">'SPV Cash Flow'!S37*Inputs!$B$187</f>
        <v>0</v>
      </c>
      <c r="T7" s="40" t="n">
        <f aca="false">'SPV Cash Flow'!T37*Inputs!$B$187</f>
        <v>0</v>
      </c>
      <c r="U7" s="40" t="n">
        <f aca="false">'SPV Cash Flow'!U37*Inputs!$B$187</f>
        <v>0</v>
      </c>
      <c r="V7" s="40" t="n">
        <f aca="false">'SPV Cash Flow'!V37*Inputs!$B$187</f>
        <v>0</v>
      </c>
      <c r="W7" s="40" t="n">
        <f aca="false">'SPV Cash Flow'!W37*Inputs!$B$187</f>
        <v>0</v>
      </c>
      <c r="X7" s="40" t="n">
        <f aca="false">'SPV Cash Flow'!X37*Inputs!$B$187</f>
        <v>0</v>
      </c>
      <c r="Y7" s="40" t="n">
        <f aca="false">'SPV Cash Flow'!Y37*Inputs!$B$187</f>
        <v>0</v>
      </c>
      <c r="Z7" s="40" t="n">
        <f aca="false">'SPV Cash Flow'!Z37*Inputs!$B$187</f>
        <v>0</v>
      </c>
      <c r="AA7" s="40" t="n">
        <f aca="false">'SPV Cash Flow'!AA37*Inputs!$B$187</f>
        <v>0</v>
      </c>
      <c r="AB7" s="40" t="n">
        <f aca="false">'SPV Cash Flow'!AB37*Inputs!$B$187</f>
        <v>0</v>
      </c>
      <c r="AC7" s="40" t="n">
        <f aca="false">'SPV Cash Flow'!AC37*Inputs!$B$187</f>
        <v>0</v>
      </c>
      <c r="AD7" s="40" t="n">
        <f aca="false">'SPV Cash Flow'!AD37*Inputs!$B$187</f>
        <v>0</v>
      </c>
      <c r="AE7" s="40" t="n">
        <f aca="false">'SPV Cash Flow'!AE37*Inputs!$B$187</f>
        <v>0</v>
      </c>
      <c r="AF7" s="40" t="n">
        <f aca="false">'SPV Cash Flow'!AF37*Inputs!$B$187</f>
        <v>0</v>
      </c>
      <c r="AG7" s="40" t="n">
        <f aca="false">'SPV Cash Flow'!AG37*Inputs!$B$187</f>
        <v>0</v>
      </c>
      <c r="AH7" s="40" t="n">
        <f aca="false">'SPV Cash Flow'!AH37*Inputs!$B$187</f>
        <v>0</v>
      </c>
      <c r="AI7" s="40" t="n">
        <f aca="false">'SPV Cash Flow'!AI37*Inputs!$B$187</f>
        <v>0</v>
      </c>
      <c r="AJ7" s="40" t="n">
        <f aca="false">'SPV Cash Flow'!AJ37*Inputs!$B$187</f>
        <v>0</v>
      </c>
      <c r="AK7" s="40" t="n">
        <f aca="false">'SPV Cash Flow'!AK37*Inputs!$B$187</f>
        <v>0</v>
      </c>
      <c r="AL7" s="40" t="n">
        <f aca="false">'SPV Cash Flow'!AL37*Inputs!$B$187</f>
        <v>0</v>
      </c>
      <c r="AM7" s="40" t="n">
        <f aca="false">'SPV Cash Flow'!AM37*Inputs!$B$187</f>
        <v>0</v>
      </c>
      <c r="AN7" s="40" t="n">
        <f aca="false">'SPV Cash Flow'!AN37*Inputs!$B$187</f>
        <v>0</v>
      </c>
      <c r="AO7" s="40" t="n">
        <f aca="false">'SPV Cash Flow'!AO37*Inputs!$B$187</f>
        <v>0</v>
      </c>
      <c r="AP7" s="40" t="n">
        <f aca="false">'SPV Cash Flow'!AP37*Inputs!$B$187</f>
        <v>0</v>
      </c>
      <c r="AQ7" s="40" t="n">
        <f aca="false">'SPV Cash Flow'!AQ37*Inputs!$B$187</f>
        <v>0</v>
      </c>
      <c r="AR7" s="40" t="n">
        <f aca="false">'SPV Cash Flow'!AR37*Inputs!$B$187</f>
        <v>0</v>
      </c>
      <c r="AS7" s="40" t="n">
        <f aca="false">'SPV Cash Flow'!AS37*Inputs!$B$187</f>
        <v>0</v>
      </c>
      <c r="AT7" s="40" t="n">
        <f aca="false">'SPV Cash Flow'!AT37*Inputs!$B$187</f>
        <v>0</v>
      </c>
      <c r="AU7" s="40" t="n">
        <f aca="false">'SPV Cash Flow'!AU37*Inputs!$B$187</f>
        <v>0</v>
      </c>
      <c r="AV7" s="40" t="n">
        <f aca="false">'SPV Cash Flow'!AV37*Inputs!$B$187</f>
        <v>0</v>
      </c>
      <c r="AW7" s="40" t="n">
        <f aca="false">'SPV Cash Flow'!AW37*Inputs!$B$187</f>
        <v>0</v>
      </c>
      <c r="AX7" s="40" t="n">
        <f aca="false">'SPV Cash Flow'!AX37*Inputs!$B$187</f>
        <v>0</v>
      </c>
      <c r="AY7" s="40" t="n">
        <f aca="false">'SPV Cash Flow'!AY37*Inputs!$B$187</f>
        <v>0</v>
      </c>
      <c r="AZ7" s="40" t="n">
        <f aca="false">'SPV Cash Flow'!AZ37*Inputs!$B$187</f>
        <v>0</v>
      </c>
    </row>
    <row r="8" customFormat="false" ht="15" hidden="false" customHeight="true" outlineLevel="0" collapsed="false">
      <c r="A8" s="13" t="s">
        <v>447</v>
      </c>
      <c r="B8" s="2"/>
      <c r="C8" s="2"/>
      <c r="D8" s="41" t="n">
        <v>0</v>
      </c>
      <c r="E8" s="41" t="n">
        <f aca="false">D13</f>
        <v>40.0437189876827</v>
      </c>
      <c r="F8" s="41" t="n">
        <f aca="false">E13</f>
        <v>252.100788870709</v>
      </c>
      <c r="G8" s="41" t="n">
        <f aca="false">F13</f>
        <v>521.714253373223</v>
      </c>
      <c r="H8" s="41" t="n">
        <f aca="false">G13</f>
        <v>568.416898624248</v>
      </c>
      <c r="I8" s="41" t="n">
        <f aca="false">H13</f>
        <v>517.358630760455</v>
      </c>
      <c r="J8" s="41" t="n">
        <f aca="false">I13</f>
        <v>448.503542230425</v>
      </c>
      <c r="K8" s="41" t="n">
        <f aca="false">J13</f>
        <v>371.396898501033</v>
      </c>
      <c r="L8" s="41" t="n">
        <f aca="false">K13</f>
        <v>285.278793858849</v>
      </c>
      <c r="M8" s="41" t="n">
        <f aca="false">L13</f>
        <v>193.630047153199</v>
      </c>
      <c r="N8" s="41" t="n">
        <f aca="false">M13</f>
        <v>126.037295608515</v>
      </c>
      <c r="O8" s="41" t="n">
        <f aca="false">N13</f>
        <v>51.3453369289115</v>
      </c>
      <c r="P8" s="41" t="n">
        <f aca="false">O13</f>
        <v>0</v>
      </c>
      <c r="Q8" s="41" t="n">
        <f aca="false">P13</f>
        <v>0</v>
      </c>
      <c r="R8" s="41" t="n">
        <f aca="false">Q13</f>
        <v>0</v>
      </c>
      <c r="S8" s="41" t="n">
        <f aca="false">R13</f>
        <v>0</v>
      </c>
      <c r="T8" s="41" t="n">
        <f aca="false">S13</f>
        <v>0</v>
      </c>
      <c r="U8" s="41" t="n">
        <f aca="false">T13</f>
        <v>0</v>
      </c>
      <c r="V8" s="41" t="n">
        <f aca="false">U13</f>
        <v>0</v>
      </c>
      <c r="W8" s="41" t="n">
        <f aca="false">V13</f>
        <v>0</v>
      </c>
      <c r="X8" s="41" t="n">
        <f aca="false">W13</f>
        <v>0</v>
      </c>
      <c r="Y8" s="41" t="n">
        <f aca="false">X13</f>
        <v>0</v>
      </c>
      <c r="Z8" s="41" t="n">
        <f aca="false">Y13</f>
        <v>0</v>
      </c>
      <c r="AA8" s="41" t="n">
        <f aca="false">Z13</f>
        <v>0</v>
      </c>
      <c r="AB8" s="41" t="n">
        <f aca="false">AA13</f>
        <v>0</v>
      </c>
      <c r="AC8" s="41" t="n">
        <f aca="false">AB13</f>
        <v>0</v>
      </c>
      <c r="AD8" s="41" t="n">
        <f aca="false">AC13</f>
        <v>0</v>
      </c>
      <c r="AE8" s="41" t="n">
        <f aca="false">AD13</f>
        <v>0</v>
      </c>
      <c r="AF8" s="41" t="n">
        <f aca="false">AE13</f>
        <v>0</v>
      </c>
      <c r="AG8" s="41" t="n">
        <f aca="false">AF13</f>
        <v>0</v>
      </c>
      <c r="AH8" s="41" t="n">
        <f aca="false">AG13</f>
        <v>0</v>
      </c>
      <c r="AI8" s="41" t="n">
        <f aca="false">AH13</f>
        <v>0</v>
      </c>
      <c r="AJ8" s="41" t="n">
        <f aca="false">AI13</f>
        <v>0</v>
      </c>
      <c r="AK8" s="41" t="n">
        <f aca="false">AJ13</f>
        <v>0</v>
      </c>
      <c r="AL8" s="41" t="n">
        <f aca="false">AK13</f>
        <v>0</v>
      </c>
      <c r="AM8" s="41" t="n">
        <f aca="false">AL13</f>
        <v>0</v>
      </c>
      <c r="AN8" s="41" t="n">
        <f aca="false">AM13</f>
        <v>0</v>
      </c>
      <c r="AO8" s="41" t="n">
        <f aca="false">AN13</f>
        <v>0</v>
      </c>
      <c r="AP8" s="41" t="n">
        <f aca="false">AO13</f>
        <v>0</v>
      </c>
      <c r="AQ8" s="41" t="n">
        <f aca="false">AP13</f>
        <v>0</v>
      </c>
      <c r="AR8" s="41" t="n">
        <f aca="false">AQ13</f>
        <v>0</v>
      </c>
      <c r="AS8" s="41" t="n">
        <f aca="false">AR13</f>
        <v>0</v>
      </c>
      <c r="AT8" s="41" t="n">
        <f aca="false">AS13</f>
        <v>0</v>
      </c>
      <c r="AU8" s="41" t="n">
        <f aca="false">AT13</f>
        <v>0</v>
      </c>
      <c r="AV8" s="41" t="n">
        <f aca="false">AU13</f>
        <v>0</v>
      </c>
      <c r="AW8" s="41" t="n">
        <f aca="false">AV13</f>
        <v>0</v>
      </c>
      <c r="AX8" s="41" t="n">
        <f aca="false">AW13</f>
        <v>0</v>
      </c>
      <c r="AY8" s="41" t="n">
        <f aca="false">AX13</f>
        <v>0</v>
      </c>
      <c r="AZ8" s="41" t="n">
        <f aca="false">AY13</f>
        <v>0</v>
      </c>
    </row>
    <row r="9" customFormat="false" ht="15" hidden="false" customHeight="true" outlineLevel="0" collapsed="false">
      <c r="A9" s="13" t="s">
        <v>701</v>
      </c>
      <c r="B9" s="2"/>
      <c r="C9" s="41" t="n">
        <f aca="false">SUM(D9:AZ9)</f>
        <v>-235.65560169332</v>
      </c>
      <c r="D9" s="41" t="n">
        <f aca="false">-(D8+D7/2)*Inputs!$B$188</f>
        <v>-1.26045604561713</v>
      </c>
      <c r="E9" s="41" t="n">
        <f aca="false">-(E8+E7/2)*Inputs!$B$188</f>
        <v>-9.1958319664869</v>
      </c>
      <c r="F9" s="41" t="n">
        <f aca="false">-(F8+F7/2)*Inputs!$B$188</f>
        <v>-24.3573742110681</v>
      </c>
      <c r="G9" s="41" t="n">
        <f aca="false">-(G8+G7/2)*Inputs!$B$188</f>
        <v>-34.3140556318816</v>
      </c>
      <c r="H9" s="41" t="n">
        <f aca="false">-(H8+H7/2)*Inputs!$B$188</f>
        <v>-36.9470984105761</v>
      </c>
      <c r="I9" s="41" t="n">
        <f aca="false">-(I8+I7/2)*Inputs!$B$188</f>
        <v>-33.6283109994296</v>
      </c>
      <c r="J9" s="41" t="n">
        <f aca="false">-(J8+J7/2)*Inputs!$B$188</f>
        <v>-29.1527302449776</v>
      </c>
      <c r="K9" s="41" t="n">
        <f aca="false">-(K8+K7/2)*Inputs!$B$188</f>
        <v>-24.1407984025671</v>
      </c>
      <c r="L9" s="41" t="n">
        <f aca="false">-(L8+L7/2)*Inputs!$B$188</f>
        <v>-18.5431216008252</v>
      </c>
      <c r="M9" s="41" t="n">
        <f aca="false">-(M8+M7/2)*Inputs!$B$188</f>
        <v>-12.5859530649579</v>
      </c>
      <c r="N9" s="41" t="n">
        <f aca="false">-(N8+N7/2)*Inputs!$B$188</f>
        <v>-8.19242421455351</v>
      </c>
      <c r="O9" s="41" t="n">
        <f aca="false">-(O8+O7/2)*Inputs!$B$188</f>
        <v>-3.33744690037925</v>
      </c>
      <c r="P9" s="41" t="n">
        <f aca="false">-(P8+P7/2)*Inputs!$B$188</f>
        <v>-0</v>
      </c>
      <c r="Q9" s="41" t="n">
        <f aca="false">-(Q8+Q7/2)*Inputs!$B$188</f>
        <v>-0</v>
      </c>
      <c r="R9" s="41" t="n">
        <f aca="false">-(R8+R7/2)*Inputs!$B$188</f>
        <v>-0</v>
      </c>
      <c r="S9" s="41" t="n">
        <f aca="false">-(S8+S7/2)*Inputs!$B$188</f>
        <v>-0</v>
      </c>
      <c r="T9" s="41" t="n">
        <f aca="false">-(T8+T7/2)*Inputs!$B$188</f>
        <v>-0</v>
      </c>
      <c r="U9" s="41" t="n">
        <f aca="false">-(U8+U7/2)*Inputs!$B$188</f>
        <v>-0</v>
      </c>
      <c r="V9" s="41" t="n">
        <f aca="false">-(V8+V7/2)*Inputs!$B$188</f>
        <v>-0</v>
      </c>
      <c r="W9" s="41" t="n">
        <f aca="false">-(W8+W7/2)*Inputs!$B$188</f>
        <v>-0</v>
      </c>
      <c r="X9" s="41" t="n">
        <f aca="false">-(X8+X7/2)*Inputs!$B$188</f>
        <v>-0</v>
      </c>
      <c r="Y9" s="41" t="n">
        <f aca="false">-(Y8+Y7/2)*Inputs!$B$188</f>
        <v>-0</v>
      </c>
      <c r="Z9" s="41" t="n">
        <f aca="false">-(Z8+Z7/2)*Inputs!$B$188</f>
        <v>-0</v>
      </c>
      <c r="AA9" s="41" t="n">
        <f aca="false">-(AA8+AA7/2)*Inputs!$B$188</f>
        <v>-0</v>
      </c>
      <c r="AB9" s="41" t="n">
        <f aca="false">-(AB8+AB7/2)*Inputs!$B$188</f>
        <v>-0</v>
      </c>
      <c r="AC9" s="41" t="n">
        <f aca="false">-(AC8+AC7/2)*Inputs!$B$188</f>
        <v>-0</v>
      </c>
      <c r="AD9" s="41" t="n">
        <f aca="false">-(AD8+AD7/2)*Inputs!$B$188</f>
        <v>-0</v>
      </c>
      <c r="AE9" s="41" t="n">
        <f aca="false">-(AE8+AE7/2)*Inputs!$B$188</f>
        <v>-0</v>
      </c>
      <c r="AF9" s="41" t="n">
        <f aca="false">-(AF8+AF7/2)*Inputs!$B$188</f>
        <v>-0</v>
      </c>
      <c r="AG9" s="41" t="n">
        <f aca="false">-(AG8+AG7/2)*Inputs!$B$188</f>
        <v>-0</v>
      </c>
      <c r="AH9" s="41" t="n">
        <f aca="false">-(AH8+AH7/2)*Inputs!$B$188</f>
        <v>-0</v>
      </c>
      <c r="AI9" s="41" t="n">
        <f aca="false">-(AI8+AI7/2)*Inputs!$B$188</f>
        <v>-0</v>
      </c>
      <c r="AJ9" s="41" t="n">
        <f aca="false">-(AJ8+AJ7/2)*Inputs!$B$188</f>
        <v>-0</v>
      </c>
      <c r="AK9" s="41" t="n">
        <f aca="false">-(AK8+AK7/2)*Inputs!$B$188</f>
        <v>-0</v>
      </c>
      <c r="AL9" s="41" t="n">
        <f aca="false">-(AL8+AL7/2)*Inputs!$B$188</f>
        <v>-0</v>
      </c>
      <c r="AM9" s="41" t="n">
        <f aca="false">-(AM8+AM7/2)*Inputs!$B$188</f>
        <v>-0</v>
      </c>
      <c r="AN9" s="41" t="n">
        <f aca="false">-(AN8+AN7/2)*Inputs!$B$188</f>
        <v>-0</v>
      </c>
      <c r="AO9" s="41" t="n">
        <f aca="false">-(AO8+AO7/2)*Inputs!$B$188</f>
        <v>-0</v>
      </c>
      <c r="AP9" s="41" t="n">
        <f aca="false">-(AP8+AP7/2)*Inputs!$B$188</f>
        <v>-0</v>
      </c>
      <c r="AQ9" s="41" t="n">
        <f aca="false">-(AQ8+AQ7/2)*Inputs!$B$188</f>
        <v>-0</v>
      </c>
      <c r="AR9" s="41" t="n">
        <f aca="false">-(AR8+AR7/2)*Inputs!$B$188</f>
        <v>-0</v>
      </c>
      <c r="AS9" s="41" t="n">
        <f aca="false">-(AS8+AS7/2)*Inputs!$B$188</f>
        <v>-0</v>
      </c>
      <c r="AT9" s="41" t="n">
        <f aca="false">-(AT8+AT7/2)*Inputs!$B$188</f>
        <v>-0</v>
      </c>
      <c r="AU9" s="41" t="n">
        <f aca="false">-(AU8+AU7/2)*Inputs!$B$188</f>
        <v>-0</v>
      </c>
      <c r="AV9" s="41" t="n">
        <f aca="false">-(AV8+AV7/2)*Inputs!$B$188</f>
        <v>-0</v>
      </c>
      <c r="AW9" s="41" t="n">
        <f aca="false">-(AW8+AW7/2)*Inputs!$B$188</f>
        <v>-0</v>
      </c>
      <c r="AX9" s="41" t="n">
        <f aca="false">-(AX8+AX7/2)*Inputs!$B$188</f>
        <v>-0</v>
      </c>
      <c r="AY9" s="41" t="n">
        <f aca="false">-(AY8+AY7/2)*Inputs!$B$188</f>
        <v>-0</v>
      </c>
      <c r="AZ9" s="41" t="n">
        <f aca="false">-(AZ8+AZ7/2)*Inputs!$B$188</f>
        <v>-0</v>
      </c>
    </row>
    <row r="10" customFormat="false" ht="15" hidden="false" customHeight="true" outlineLevel="0" collapsed="false">
      <c r="A10" s="13" t="s">
        <v>702</v>
      </c>
      <c r="B10" s="2"/>
      <c r="C10" s="41" t="n">
        <f aca="false">SUM(D10:AZ10)</f>
        <v>69.1277178550537</v>
      </c>
      <c r="D10" s="41" t="n">
        <f aca="false">IF(2026-2026&lt;Inputs!$B$189,-D9,0)</f>
        <v>1.26045604561713</v>
      </c>
      <c r="E10" s="41" t="n">
        <f aca="false">IF(2027-2026&lt;Inputs!$B$189,-E9,0)</f>
        <v>9.1958319664869</v>
      </c>
      <c r="F10" s="41" t="n">
        <f aca="false">IF(2028-2026&lt;Inputs!$B$189,-F9,0)</f>
        <v>24.3573742110681</v>
      </c>
      <c r="G10" s="41" t="n">
        <f aca="false">IF(2029-2026&lt;Inputs!$B$189,-G9,0)</f>
        <v>34.3140556318816</v>
      </c>
      <c r="H10" s="41" t="n">
        <f aca="false">IF(2030-2026&lt;Inputs!$B$189,-H9,0)</f>
        <v>0</v>
      </c>
      <c r="I10" s="41" t="n">
        <f aca="false">IF(2031-2026&lt;Inputs!$B$189,-I9,0)</f>
        <v>0</v>
      </c>
      <c r="J10" s="41" t="n">
        <f aca="false">IF(2032-2026&lt;Inputs!$B$189,-J9,0)</f>
        <v>0</v>
      </c>
      <c r="K10" s="41" t="n">
        <f aca="false">IF(2033-2026&lt;Inputs!$B$189,-K9,0)</f>
        <v>0</v>
      </c>
      <c r="L10" s="41" t="n">
        <f aca="false">IF(2034-2026&lt;Inputs!$B$189,-L9,0)</f>
        <v>0</v>
      </c>
      <c r="M10" s="41" t="n">
        <f aca="false">IF(2035-2026&lt;Inputs!$B$189,-M9,0)</f>
        <v>0</v>
      </c>
      <c r="N10" s="41" t="n">
        <f aca="false">IF(2036-2026&lt;Inputs!$B$189,-N9,0)</f>
        <v>0</v>
      </c>
      <c r="O10" s="41" t="n">
        <f aca="false">IF(2037-2026&lt;Inputs!$B$189,-O9,0)</f>
        <v>0</v>
      </c>
      <c r="P10" s="41" t="n">
        <f aca="false">IF(2038-2026&lt;Inputs!$B$189,-P9,0)</f>
        <v>0</v>
      </c>
      <c r="Q10" s="41" t="n">
        <f aca="false">IF(2039-2026&lt;Inputs!$B$189,-Q9,0)</f>
        <v>0</v>
      </c>
      <c r="R10" s="41" t="n">
        <f aca="false">IF(2040-2026&lt;Inputs!$B$189,-R9,0)</f>
        <v>0</v>
      </c>
      <c r="S10" s="41" t="n">
        <f aca="false">IF(2041-2026&lt;Inputs!$B$189,-S9,0)</f>
        <v>0</v>
      </c>
      <c r="T10" s="41" t="n">
        <f aca="false">IF(2042-2026&lt;Inputs!$B$189,-T9,0)</f>
        <v>0</v>
      </c>
      <c r="U10" s="41" t="n">
        <f aca="false">IF(2043-2026&lt;Inputs!$B$189,-U9,0)</f>
        <v>0</v>
      </c>
      <c r="V10" s="41" t="n">
        <f aca="false">IF(2044-2026&lt;Inputs!$B$189,-V9,0)</f>
        <v>0</v>
      </c>
      <c r="W10" s="41" t="n">
        <f aca="false">IF(2045-2026&lt;Inputs!$B$189,-W9,0)</f>
        <v>0</v>
      </c>
      <c r="X10" s="41" t="n">
        <f aca="false">IF(2046-2026&lt;Inputs!$B$189,-X9,0)</f>
        <v>0</v>
      </c>
      <c r="Y10" s="41" t="n">
        <f aca="false">IF(2047-2026&lt;Inputs!$B$189,-Y9,0)</f>
        <v>0</v>
      </c>
      <c r="Z10" s="41" t="n">
        <f aca="false">IF(2048-2026&lt;Inputs!$B$189,-Z9,0)</f>
        <v>0</v>
      </c>
      <c r="AA10" s="41" t="n">
        <f aca="false">IF(2049-2026&lt;Inputs!$B$189,-AA9,0)</f>
        <v>0</v>
      </c>
      <c r="AB10" s="41" t="n">
        <f aca="false">IF(2050-2026&lt;Inputs!$B$189,-AB9,0)</f>
        <v>0</v>
      </c>
      <c r="AC10" s="41" t="n">
        <f aca="false">IF(2051-2026&lt;Inputs!$B$189,-AC9,0)</f>
        <v>0</v>
      </c>
      <c r="AD10" s="41" t="n">
        <f aca="false">IF(2052-2026&lt;Inputs!$B$189,-AD9,0)</f>
        <v>0</v>
      </c>
      <c r="AE10" s="41" t="n">
        <f aca="false">IF(2053-2026&lt;Inputs!$B$189,-AE9,0)</f>
        <v>0</v>
      </c>
      <c r="AF10" s="41" t="n">
        <f aca="false">IF(2054-2026&lt;Inputs!$B$189,-AF9,0)</f>
        <v>0</v>
      </c>
      <c r="AG10" s="41" t="n">
        <f aca="false">IF(2055-2026&lt;Inputs!$B$189,-AG9,0)</f>
        <v>0</v>
      </c>
      <c r="AH10" s="41" t="n">
        <f aca="false">IF(2056-2026&lt;Inputs!$B$189,-AH9,0)</f>
        <v>0</v>
      </c>
      <c r="AI10" s="41" t="n">
        <f aca="false">IF(2057-2026&lt;Inputs!$B$189,-AI9,0)</f>
        <v>0</v>
      </c>
      <c r="AJ10" s="41" t="n">
        <f aca="false">IF(2058-2026&lt;Inputs!$B$189,-AJ9,0)</f>
        <v>0</v>
      </c>
      <c r="AK10" s="41" t="n">
        <f aca="false">IF(2059-2026&lt;Inputs!$B$189,-AK9,0)</f>
        <v>0</v>
      </c>
      <c r="AL10" s="41" t="n">
        <f aca="false">IF(2060-2026&lt;Inputs!$B$189,-AL9,0)</f>
        <v>0</v>
      </c>
      <c r="AM10" s="41" t="n">
        <f aca="false">IF(2061-2026&lt;Inputs!$B$189,-AM9,0)</f>
        <v>0</v>
      </c>
      <c r="AN10" s="41" t="n">
        <f aca="false">IF(2062-2026&lt;Inputs!$B$189,-AN9,0)</f>
        <v>0</v>
      </c>
      <c r="AO10" s="41" t="n">
        <f aca="false">IF(2063-2026&lt;Inputs!$B$189,-AO9,0)</f>
        <v>0</v>
      </c>
      <c r="AP10" s="41" t="n">
        <f aca="false">IF(2064-2026&lt;Inputs!$B$189,-AP9,0)</f>
        <v>0</v>
      </c>
      <c r="AQ10" s="41" t="n">
        <f aca="false">IF(2065-2026&lt;Inputs!$B$189,-AQ9,0)</f>
        <v>0</v>
      </c>
      <c r="AR10" s="41" t="n">
        <f aca="false">IF(2066-2026&lt;Inputs!$B$189,-AR9,0)</f>
        <v>0</v>
      </c>
      <c r="AS10" s="41" t="n">
        <f aca="false">IF(2067-2026&lt;Inputs!$B$189,-AS9,0)</f>
        <v>0</v>
      </c>
      <c r="AT10" s="41" t="n">
        <f aca="false">IF(2068-2026&lt;Inputs!$B$189,-AT9,0)</f>
        <v>0</v>
      </c>
      <c r="AU10" s="41" t="n">
        <f aca="false">IF(2069-2026&lt;Inputs!$B$189,-AU9,0)</f>
        <v>0</v>
      </c>
      <c r="AV10" s="41" t="n">
        <f aca="false">IF(2070-2026&lt;Inputs!$B$189,-AV9,0)</f>
        <v>0</v>
      </c>
      <c r="AW10" s="41" t="n">
        <f aca="false">IF(2071-2026&lt;Inputs!$B$189,-AW9,0)</f>
        <v>0</v>
      </c>
      <c r="AX10" s="41" t="n">
        <f aca="false">IF(2072-2026&lt;Inputs!$B$189,-AX9,0)</f>
        <v>0</v>
      </c>
      <c r="AY10" s="41" t="n">
        <f aca="false">IF(2073-2026&lt;Inputs!$B$189,-AY9,0)</f>
        <v>0</v>
      </c>
      <c r="AZ10" s="41" t="n">
        <f aca="false">IF(2074-2026&lt;Inputs!$B$189,-AZ9,0)</f>
        <v>0</v>
      </c>
    </row>
    <row r="11" customFormat="false" ht="15" hidden="false" customHeight="true" outlineLevel="0" collapsed="false">
      <c r="A11" s="13" t="s">
        <v>703</v>
      </c>
      <c r="B11" s="2"/>
      <c r="C11" s="41" t="n">
        <f aca="false">SUM(D11:AZ11)</f>
        <v>-166.527883838266</v>
      </c>
      <c r="D11" s="41" t="n">
        <f aca="false">D9+D10</f>
        <v>0</v>
      </c>
      <c r="E11" s="41" t="n">
        <f aca="false">E9+E10</f>
        <v>0</v>
      </c>
      <c r="F11" s="41" t="n">
        <f aca="false">F9+F10</f>
        <v>0</v>
      </c>
      <c r="G11" s="41" t="n">
        <f aca="false">G9+G10</f>
        <v>0</v>
      </c>
      <c r="H11" s="41" t="n">
        <f aca="false">H9+H10</f>
        <v>-36.9470984105761</v>
      </c>
      <c r="I11" s="41" t="n">
        <f aca="false">I9+I10</f>
        <v>-33.6283109994296</v>
      </c>
      <c r="J11" s="41" t="n">
        <f aca="false">J9+J10</f>
        <v>-29.1527302449776</v>
      </c>
      <c r="K11" s="41" t="n">
        <f aca="false">K9+K10</f>
        <v>-24.1407984025671</v>
      </c>
      <c r="L11" s="41" t="n">
        <f aca="false">L9+L10</f>
        <v>-18.5431216008252</v>
      </c>
      <c r="M11" s="41" t="n">
        <f aca="false">M9+M10</f>
        <v>-12.5859530649579</v>
      </c>
      <c r="N11" s="41" t="n">
        <f aca="false">N9+N10</f>
        <v>-8.19242421455351</v>
      </c>
      <c r="O11" s="41" t="n">
        <f aca="false">O9+O10</f>
        <v>-3.33744690037925</v>
      </c>
      <c r="P11" s="41" t="n">
        <f aca="false">P9+P10</f>
        <v>0</v>
      </c>
      <c r="Q11" s="41" t="n">
        <f aca="false">Q9+Q10</f>
        <v>0</v>
      </c>
      <c r="R11" s="41" t="n">
        <f aca="false">R9+R10</f>
        <v>0</v>
      </c>
      <c r="S11" s="41" t="n">
        <f aca="false">S9+S10</f>
        <v>0</v>
      </c>
      <c r="T11" s="41" t="n">
        <f aca="false">T9+T10</f>
        <v>0</v>
      </c>
      <c r="U11" s="41" t="n">
        <f aca="false">U9+U10</f>
        <v>0</v>
      </c>
      <c r="V11" s="41" t="n">
        <f aca="false">V9+V10</f>
        <v>0</v>
      </c>
      <c r="W11" s="41" t="n">
        <f aca="false">W9+W10</f>
        <v>0</v>
      </c>
      <c r="X11" s="41" t="n">
        <f aca="false">X9+X10</f>
        <v>0</v>
      </c>
      <c r="Y11" s="41" t="n">
        <f aca="false">Y9+Y10</f>
        <v>0</v>
      </c>
      <c r="Z11" s="41" t="n">
        <f aca="false">Z9+Z10</f>
        <v>0</v>
      </c>
      <c r="AA11" s="41" t="n">
        <f aca="false">AA9+AA10</f>
        <v>0</v>
      </c>
      <c r="AB11" s="41" t="n">
        <f aca="false">AB9+AB10</f>
        <v>0</v>
      </c>
      <c r="AC11" s="41" t="n">
        <f aca="false">AC9+AC10</f>
        <v>0</v>
      </c>
      <c r="AD11" s="41" t="n">
        <f aca="false">AD9+AD10</f>
        <v>0</v>
      </c>
      <c r="AE11" s="41" t="n">
        <f aca="false">AE9+AE10</f>
        <v>0</v>
      </c>
      <c r="AF11" s="41" t="n">
        <f aca="false">AF9+AF10</f>
        <v>0</v>
      </c>
      <c r="AG11" s="41" t="n">
        <f aca="false">AG9+AG10</f>
        <v>0</v>
      </c>
      <c r="AH11" s="41" t="n">
        <f aca="false">AH9+AH10</f>
        <v>0</v>
      </c>
      <c r="AI11" s="41" t="n">
        <f aca="false">AI9+AI10</f>
        <v>0</v>
      </c>
      <c r="AJ11" s="41" t="n">
        <f aca="false">AJ9+AJ10</f>
        <v>0</v>
      </c>
      <c r="AK11" s="41" t="n">
        <f aca="false">AK9+AK10</f>
        <v>0</v>
      </c>
      <c r="AL11" s="41" t="n">
        <f aca="false">AL9+AL10</f>
        <v>0</v>
      </c>
      <c r="AM11" s="41" t="n">
        <f aca="false">AM9+AM10</f>
        <v>0</v>
      </c>
      <c r="AN11" s="41" t="n">
        <f aca="false">AN9+AN10</f>
        <v>0</v>
      </c>
      <c r="AO11" s="41" t="n">
        <f aca="false">AO9+AO10</f>
        <v>0</v>
      </c>
      <c r="AP11" s="41" t="n">
        <f aca="false">AP9+AP10</f>
        <v>0</v>
      </c>
      <c r="AQ11" s="41" t="n">
        <f aca="false">AQ9+AQ10</f>
        <v>0</v>
      </c>
      <c r="AR11" s="41" t="n">
        <f aca="false">AR9+AR10</f>
        <v>0</v>
      </c>
      <c r="AS11" s="41" t="n">
        <f aca="false">AS9+AS10</f>
        <v>0</v>
      </c>
      <c r="AT11" s="41" t="n">
        <f aca="false">AT9+AT10</f>
        <v>0</v>
      </c>
      <c r="AU11" s="41" t="n">
        <f aca="false">AU9+AU10</f>
        <v>0</v>
      </c>
      <c r="AV11" s="41" t="n">
        <f aca="false">AV9+AV10</f>
        <v>0</v>
      </c>
      <c r="AW11" s="41" t="n">
        <f aca="false">AW9+AW10</f>
        <v>0</v>
      </c>
      <c r="AX11" s="41" t="n">
        <f aca="false">AX9+AX10</f>
        <v>0</v>
      </c>
      <c r="AY11" s="41" t="n">
        <f aca="false">AY9+AY10</f>
        <v>0</v>
      </c>
      <c r="AZ11" s="41" t="n">
        <f aca="false">AZ9+AZ10</f>
        <v>0</v>
      </c>
    </row>
    <row r="12" customFormat="false" ht="15" hidden="false" customHeight="true" outlineLevel="0" collapsed="false">
      <c r="A12" s="13" t="s">
        <v>704</v>
      </c>
      <c r="B12" s="2"/>
      <c r="C12" s="41" t="n">
        <f aca="false">SUM(D12:AZ12)</f>
        <v>-568.416898624248</v>
      </c>
      <c r="D12" s="41" t="n">
        <f aca="false">-IF(2026-2026&lt;Inputs!$B$189,0,MIN(D8+D7,MAX(0,'SPV Cash Flow'!D49/Inputs!$B$191+D11)))</f>
        <v>-0</v>
      </c>
      <c r="E12" s="41" t="n">
        <f aca="false">-IF(2027-2026&lt;Inputs!$B$189,0,MIN(E8+E7,MAX(0,'SPV Cash Flow'!E49/Inputs!$B$191+E11)))</f>
        <v>-0</v>
      </c>
      <c r="F12" s="41" t="n">
        <f aca="false">-IF(2028-2026&lt;Inputs!$B$189,0,MIN(F8+F7,MAX(0,'SPV Cash Flow'!F49/Inputs!$B$191+F11)))</f>
        <v>-0</v>
      </c>
      <c r="G12" s="41" t="n">
        <f aca="false">-IF(2029-2026&lt;Inputs!$B$189,0,MIN(G8+G7,MAX(0,'SPV Cash Flow'!G49/Inputs!$B$191+G11)))</f>
        <v>-0</v>
      </c>
      <c r="H12" s="41" t="n">
        <f aca="false">-IF(2030-2026&lt;Inputs!$B$189,0,MIN(H8+H7,MAX(0,'SPV Cash Flow'!H49/Inputs!$B$191+H11)))</f>
        <v>-51.0582678637926</v>
      </c>
      <c r="I12" s="41" t="n">
        <f aca="false">-IF(2031-2026&lt;Inputs!$B$189,0,MIN(I8+I7,MAX(0,'SPV Cash Flow'!I49/Inputs!$B$191+I11)))</f>
        <v>-68.85508853003</v>
      </c>
      <c r="J12" s="41" t="n">
        <f aca="false">-IF(2032-2026&lt;Inputs!$B$189,0,MIN(J8+J7,MAX(0,'SPV Cash Flow'!J49/Inputs!$B$191+J11)))</f>
        <v>-77.1066437293925</v>
      </c>
      <c r="K12" s="41" t="n">
        <f aca="false">-IF(2033-2026&lt;Inputs!$B$189,0,MIN(K8+K7,MAX(0,'SPV Cash Flow'!K49/Inputs!$B$191+K11)))</f>
        <v>-86.1181046421837</v>
      </c>
      <c r="L12" s="41" t="n">
        <f aca="false">-IF(2034-2026&lt;Inputs!$B$189,0,MIN(L8+L7,MAX(0,'SPV Cash Flow'!L49/Inputs!$B$191+L11)))</f>
        <v>-91.6487467056504</v>
      </c>
      <c r="M12" s="41" t="n">
        <f aca="false">-IF(2035-2026&lt;Inputs!$B$189,0,MIN(M8+M7,MAX(0,'SPV Cash Flow'!M49/Inputs!$B$191+M11)))</f>
        <v>-67.5927515446832</v>
      </c>
      <c r="N12" s="41" t="n">
        <f aca="false">-IF(2036-2026&lt;Inputs!$B$189,0,MIN(N8+N7,MAX(0,'SPV Cash Flow'!N49/Inputs!$B$191+N11)))</f>
        <v>-74.691958679604</v>
      </c>
      <c r="O12" s="41" t="n">
        <f aca="false">-IF(2037-2026&lt;Inputs!$B$189,0,MIN(O8+O7,MAX(0,'SPV Cash Flow'!O49/Inputs!$B$191+O11)))</f>
        <v>-51.3453369289115</v>
      </c>
      <c r="P12" s="41" t="n">
        <f aca="false">-IF(2038-2026&lt;Inputs!$B$189,0,MIN(P8+P7,MAX(0,'SPV Cash Flow'!P49/Inputs!$B$191+P11)))</f>
        <v>-0</v>
      </c>
      <c r="Q12" s="41" t="n">
        <f aca="false">-IF(2039-2026&lt;Inputs!$B$189,0,MIN(Q8+Q7,MAX(0,'SPV Cash Flow'!Q49/Inputs!$B$191+Q11)))</f>
        <v>-0</v>
      </c>
      <c r="R12" s="41" t="n">
        <f aca="false">-IF(2040-2026&lt;Inputs!$B$189,0,MIN(R8+R7,MAX(0,'SPV Cash Flow'!R49/Inputs!$B$191+R11)))</f>
        <v>-0</v>
      </c>
      <c r="S12" s="41" t="n">
        <f aca="false">-IF(2041-2026&lt;Inputs!$B$189,0,MIN(S8+S7,MAX(0,'SPV Cash Flow'!S49/Inputs!$B$191+S11)))</f>
        <v>-0</v>
      </c>
      <c r="T12" s="41" t="n">
        <f aca="false">-IF(2042-2026&lt;Inputs!$B$189,0,MIN(T8+T7,MAX(0,'SPV Cash Flow'!T49/Inputs!$B$191+T11)))</f>
        <v>-0</v>
      </c>
      <c r="U12" s="41" t="n">
        <f aca="false">-IF(2043-2026&lt;Inputs!$B$189,0,MIN(U8+U7,MAX(0,'SPV Cash Flow'!U49/Inputs!$B$191+U11)))</f>
        <v>-0</v>
      </c>
      <c r="V12" s="41" t="n">
        <f aca="false">-IF(2044-2026&lt;Inputs!$B$189,0,MIN(V8+V7,MAX(0,'SPV Cash Flow'!V49/Inputs!$B$191+V11)))</f>
        <v>-0</v>
      </c>
      <c r="W12" s="41" t="n">
        <f aca="false">-IF(2045-2026&lt;Inputs!$B$189,0,MIN(W8+W7,MAX(0,'SPV Cash Flow'!W49/Inputs!$B$191+W11)))</f>
        <v>-0</v>
      </c>
      <c r="X12" s="41" t="n">
        <f aca="false">-IF(2046-2026&lt;Inputs!$B$189,0,MIN(X8+X7,MAX(0,'SPV Cash Flow'!X49/Inputs!$B$191+X11)))</f>
        <v>-0</v>
      </c>
      <c r="Y12" s="41" t="n">
        <f aca="false">-IF(2047-2026&lt;Inputs!$B$189,0,MIN(Y8+Y7,MAX(0,'SPV Cash Flow'!Y49/Inputs!$B$191+Y11)))</f>
        <v>-0</v>
      </c>
      <c r="Z12" s="41" t="n">
        <f aca="false">-IF(2048-2026&lt;Inputs!$B$189,0,MIN(Z8+Z7,MAX(0,'SPV Cash Flow'!Z49/Inputs!$B$191+Z11)))</f>
        <v>-0</v>
      </c>
      <c r="AA12" s="41" t="n">
        <f aca="false">-IF(2049-2026&lt;Inputs!$B$189,0,MIN(AA8+AA7,MAX(0,'SPV Cash Flow'!AA49/Inputs!$B$191+AA11)))</f>
        <v>-0</v>
      </c>
      <c r="AB12" s="41" t="n">
        <f aca="false">-IF(2050-2026&lt;Inputs!$B$189,0,MIN(AB8+AB7,MAX(0,'SPV Cash Flow'!AB49/Inputs!$B$191+AB11)))</f>
        <v>-0</v>
      </c>
      <c r="AC12" s="41" t="n">
        <f aca="false">-IF(2051-2026&lt;Inputs!$B$189,0,MIN(AC8+AC7,MAX(0,'SPV Cash Flow'!AC49/Inputs!$B$191+AC11)))</f>
        <v>-0</v>
      </c>
      <c r="AD12" s="41" t="n">
        <f aca="false">-IF(2052-2026&lt;Inputs!$B$189,0,MIN(AD8+AD7,MAX(0,'SPV Cash Flow'!AD49/Inputs!$B$191+AD11)))</f>
        <v>-0</v>
      </c>
      <c r="AE12" s="41" t="n">
        <f aca="false">-IF(2053-2026&lt;Inputs!$B$189,0,MIN(AE8+AE7,MAX(0,'SPV Cash Flow'!AE49/Inputs!$B$191+AE11)))</f>
        <v>-0</v>
      </c>
      <c r="AF12" s="41" t="n">
        <f aca="false">-IF(2054-2026&lt;Inputs!$B$189,0,MIN(AF8+AF7,MAX(0,'SPV Cash Flow'!AF49/Inputs!$B$191+AF11)))</f>
        <v>-0</v>
      </c>
      <c r="AG12" s="41" t="n">
        <f aca="false">-IF(2055-2026&lt;Inputs!$B$189,0,MIN(AG8+AG7,MAX(0,'SPV Cash Flow'!AG49/Inputs!$B$191+AG11)))</f>
        <v>-0</v>
      </c>
      <c r="AH12" s="41" t="n">
        <f aca="false">-IF(2056-2026&lt;Inputs!$B$189,0,MIN(AH8+AH7,MAX(0,'SPV Cash Flow'!AH49/Inputs!$B$191+AH11)))</f>
        <v>-0</v>
      </c>
      <c r="AI12" s="41" t="n">
        <f aca="false">-IF(2057-2026&lt;Inputs!$B$189,0,MIN(AI8+AI7,MAX(0,'SPV Cash Flow'!AI49/Inputs!$B$191+AI11)))</f>
        <v>-0</v>
      </c>
      <c r="AJ12" s="41" t="n">
        <f aca="false">-IF(2058-2026&lt;Inputs!$B$189,0,MIN(AJ8+AJ7,MAX(0,'SPV Cash Flow'!AJ49/Inputs!$B$191+AJ11)))</f>
        <v>-0</v>
      </c>
      <c r="AK12" s="41" t="n">
        <f aca="false">-IF(2059-2026&lt;Inputs!$B$189,0,MIN(AK8+AK7,MAX(0,'SPV Cash Flow'!AK49/Inputs!$B$191+AK11)))</f>
        <v>-0</v>
      </c>
      <c r="AL12" s="41" t="n">
        <f aca="false">-IF(2060-2026&lt;Inputs!$B$189,0,MIN(AL8+AL7,MAX(0,'SPV Cash Flow'!AL49/Inputs!$B$191+AL11)))</f>
        <v>-0</v>
      </c>
      <c r="AM12" s="41" t="n">
        <f aca="false">-IF(2061-2026&lt;Inputs!$B$189,0,MIN(AM8+AM7,MAX(0,'SPV Cash Flow'!AM49/Inputs!$B$191+AM11)))</f>
        <v>-0</v>
      </c>
      <c r="AN12" s="41" t="n">
        <f aca="false">-IF(2062-2026&lt;Inputs!$B$189,0,MIN(AN8+AN7,MAX(0,'SPV Cash Flow'!AN49/Inputs!$B$191+AN11)))</f>
        <v>-0</v>
      </c>
      <c r="AO12" s="41" t="n">
        <f aca="false">-IF(2063-2026&lt;Inputs!$B$189,0,MIN(AO8+AO7,MAX(0,'SPV Cash Flow'!AO49/Inputs!$B$191+AO11)))</f>
        <v>-0</v>
      </c>
      <c r="AP12" s="41" t="n">
        <f aca="false">-IF(2064-2026&lt;Inputs!$B$189,0,MIN(AP8+AP7,MAX(0,'SPV Cash Flow'!AP49/Inputs!$B$191+AP11)))</f>
        <v>-0</v>
      </c>
      <c r="AQ12" s="41" t="n">
        <f aca="false">-IF(2065-2026&lt;Inputs!$B$189,0,MIN(AQ8+AQ7,MAX(0,'SPV Cash Flow'!AQ49/Inputs!$B$191+AQ11)))</f>
        <v>-0</v>
      </c>
      <c r="AR12" s="41" t="n">
        <f aca="false">-IF(2066-2026&lt;Inputs!$B$189,0,MIN(AR8+AR7,MAX(0,'SPV Cash Flow'!AR49/Inputs!$B$191+AR11)))</f>
        <v>-0</v>
      </c>
      <c r="AS12" s="41" t="n">
        <f aca="false">-IF(2067-2026&lt;Inputs!$B$189,0,MIN(AS8+AS7,MAX(0,'SPV Cash Flow'!AS49/Inputs!$B$191+AS11)))</f>
        <v>-0</v>
      </c>
      <c r="AT12" s="41" t="n">
        <f aca="false">-IF(2068-2026&lt;Inputs!$B$189,0,MIN(AT8+AT7,MAX(0,'SPV Cash Flow'!AT49/Inputs!$B$191+AT11)))</f>
        <v>-0</v>
      </c>
      <c r="AU12" s="41" t="n">
        <f aca="false">-IF(2069-2026&lt;Inputs!$B$189,0,MIN(AU8+AU7,MAX(0,'SPV Cash Flow'!AU49/Inputs!$B$191+AU11)))</f>
        <v>-0</v>
      </c>
      <c r="AV12" s="41" t="n">
        <f aca="false">-IF(2070-2026&lt;Inputs!$B$189,0,MIN(AV8+AV7,MAX(0,'SPV Cash Flow'!AV49/Inputs!$B$191+AV11)))</f>
        <v>-0</v>
      </c>
      <c r="AW12" s="41" t="n">
        <f aca="false">-IF(2071-2026&lt;Inputs!$B$189,0,MIN(AW8+AW7,MAX(0,'SPV Cash Flow'!AW49/Inputs!$B$191+AW11)))</f>
        <v>-0</v>
      </c>
      <c r="AX12" s="41" t="n">
        <f aca="false">-IF(2072-2026&lt;Inputs!$B$189,0,MIN(AX8+AX7,MAX(0,'SPV Cash Flow'!AX49/Inputs!$B$191+AX11)))</f>
        <v>-0</v>
      </c>
      <c r="AY12" s="41" t="n">
        <f aca="false">-IF(2073-2026&lt;Inputs!$B$189,0,MIN(AY8+AY7,MAX(0,'SPV Cash Flow'!AY49/Inputs!$B$191+AY11)))</f>
        <v>-0</v>
      </c>
      <c r="AZ12" s="41" t="n">
        <f aca="false">-IF(2074-2026&lt;Inputs!$B$189,0,MIN(AZ8+AZ7,MAX(0,'SPV Cash Flow'!AZ49/Inputs!$B$191+AZ11)))</f>
        <v>-0</v>
      </c>
    </row>
    <row r="13" customFormat="false" ht="15" hidden="false" customHeight="true" outlineLevel="0" collapsed="false">
      <c r="A13" s="6" t="s">
        <v>450</v>
      </c>
      <c r="B13" s="2"/>
      <c r="C13" s="2"/>
      <c r="D13" s="21" t="n">
        <f aca="false">D8+D7+D10+D12</f>
        <v>40.0437189876827</v>
      </c>
      <c r="E13" s="21" t="n">
        <f aca="false">E8+E7+E10+E12</f>
        <v>252.100788870709</v>
      </c>
      <c r="F13" s="21" t="n">
        <f aca="false">F8+F7+F10+F12</f>
        <v>521.714253373223</v>
      </c>
      <c r="G13" s="21" t="n">
        <f aca="false">G8+G7+G10+G12</f>
        <v>568.416898624248</v>
      </c>
      <c r="H13" s="21" t="n">
        <f aca="false">H8+H7+H10+H12</f>
        <v>517.358630760455</v>
      </c>
      <c r="I13" s="21" t="n">
        <f aca="false">I8+I7+I10+I12</f>
        <v>448.503542230425</v>
      </c>
      <c r="J13" s="21" t="n">
        <f aca="false">J8+J7+J10+J12</f>
        <v>371.396898501033</v>
      </c>
      <c r="K13" s="21" t="n">
        <f aca="false">K8+K7+K10+K12</f>
        <v>285.278793858849</v>
      </c>
      <c r="L13" s="21" t="n">
        <f aca="false">L8+L7+L10+L12</f>
        <v>193.630047153199</v>
      </c>
      <c r="M13" s="21" t="n">
        <f aca="false">M8+M7+M10+M12</f>
        <v>126.037295608515</v>
      </c>
      <c r="N13" s="21" t="n">
        <f aca="false">N8+N7+N10+N12</f>
        <v>51.3453369289115</v>
      </c>
      <c r="O13" s="21" t="n">
        <f aca="false">O8+O7+O10+O12</f>
        <v>0</v>
      </c>
      <c r="P13" s="21" t="n">
        <f aca="false">P8+P7+P10+P12</f>
        <v>0</v>
      </c>
      <c r="Q13" s="21" t="n">
        <f aca="false">Q8+Q7+Q10+Q12</f>
        <v>0</v>
      </c>
      <c r="R13" s="21" t="n">
        <f aca="false">R8+R7+R10+R12</f>
        <v>0</v>
      </c>
      <c r="S13" s="21" t="n">
        <f aca="false">S8+S7+S10+S12</f>
        <v>0</v>
      </c>
      <c r="T13" s="21" t="n">
        <f aca="false">T8+T7+T10+T12</f>
        <v>0</v>
      </c>
      <c r="U13" s="21" t="n">
        <f aca="false">U8+U7+U10+U12</f>
        <v>0</v>
      </c>
      <c r="V13" s="21" t="n">
        <f aca="false">V8+V7+V10+V12</f>
        <v>0</v>
      </c>
      <c r="W13" s="21" t="n">
        <f aca="false">W8+W7+W10+W12</f>
        <v>0</v>
      </c>
      <c r="X13" s="21" t="n">
        <f aca="false">X8+X7+X10+X12</f>
        <v>0</v>
      </c>
      <c r="Y13" s="21" t="n">
        <f aca="false">Y8+Y7+Y10+Y12</f>
        <v>0</v>
      </c>
      <c r="Z13" s="21" t="n">
        <f aca="false">Z8+Z7+Z10+Z12</f>
        <v>0</v>
      </c>
      <c r="AA13" s="21" t="n">
        <f aca="false">AA8+AA7+AA10+AA12</f>
        <v>0</v>
      </c>
      <c r="AB13" s="21" t="n">
        <f aca="false">AB8+AB7+AB10+AB12</f>
        <v>0</v>
      </c>
      <c r="AC13" s="21" t="n">
        <f aca="false">AC8+AC7+AC10+AC12</f>
        <v>0</v>
      </c>
      <c r="AD13" s="21" t="n">
        <f aca="false">AD8+AD7+AD10+AD12</f>
        <v>0</v>
      </c>
      <c r="AE13" s="21" t="n">
        <f aca="false">AE8+AE7+AE10+AE12</f>
        <v>0</v>
      </c>
      <c r="AF13" s="21" t="n">
        <f aca="false">AF8+AF7+AF10+AF12</f>
        <v>0</v>
      </c>
      <c r="AG13" s="21" t="n">
        <f aca="false">AG8+AG7+AG10+AG12</f>
        <v>0</v>
      </c>
      <c r="AH13" s="21" t="n">
        <f aca="false">AH8+AH7+AH10+AH12</f>
        <v>0</v>
      </c>
      <c r="AI13" s="21" t="n">
        <f aca="false">AI8+AI7+AI10+AI12</f>
        <v>0</v>
      </c>
      <c r="AJ13" s="21" t="n">
        <f aca="false">AJ8+AJ7+AJ10+AJ12</f>
        <v>0</v>
      </c>
      <c r="AK13" s="21" t="n">
        <f aca="false">AK8+AK7+AK10+AK12</f>
        <v>0</v>
      </c>
      <c r="AL13" s="21" t="n">
        <f aca="false">AL8+AL7+AL10+AL12</f>
        <v>0</v>
      </c>
      <c r="AM13" s="21" t="n">
        <f aca="false">AM8+AM7+AM10+AM12</f>
        <v>0</v>
      </c>
      <c r="AN13" s="21" t="n">
        <f aca="false">AN8+AN7+AN10+AN12</f>
        <v>0</v>
      </c>
      <c r="AO13" s="21" t="n">
        <f aca="false">AO8+AO7+AO10+AO12</f>
        <v>0</v>
      </c>
      <c r="AP13" s="21" t="n">
        <f aca="false">AP8+AP7+AP10+AP12</f>
        <v>0</v>
      </c>
      <c r="AQ13" s="21" t="n">
        <f aca="false">AQ8+AQ7+AQ10+AQ12</f>
        <v>0</v>
      </c>
      <c r="AR13" s="21" t="n">
        <f aca="false">AR8+AR7+AR10+AR12</f>
        <v>0</v>
      </c>
      <c r="AS13" s="21" t="n">
        <f aca="false">AS8+AS7+AS10+AS12</f>
        <v>0</v>
      </c>
      <c r="AT13" s="21" t="n">
        <f aca="false">AT8+AT7+AT10+AT12</f>
        <v>0</v>
      </c>
      <c r="AU13" s="21" t="n">
        <f aca="false">AU8+AU7+AU10+AU12</f>
        <v>0</v>
      </c>
      <c r="AV13" s="21" t="n">
        <f aca="false">AV8+AV7+AV10+AV12</f>
        <v>0</v>
      </c>
      <c r="AW13" s="21" t="n">
        <f aca="false">AW8+AW7+AW10+AW12</f>
        <v>0</v>
      </c>
      <c r="AX13" s="21" t="n">
        <f aca="false">AX8+AX7+AX10+AX12</f>
        <v>0</v>
      </c>
      <c r="AY13" s="21" t="n">
        <f aca="false">AY8+AY7+AY10+AY12</f>
        <v>0</v>
      </c>
      <c r="AZ13" s="21" t="n">
        <f aca="false">AZ8+AZ7+AZ10+AZ12</f>
        <v>0</v>
      </c>
    </row>
    <row r="14" customFormat="false" ht="15" hidden="false" customHeight="true" outlineLevel="0" collapsed="false">
      <c r="A14" s="6" t="s">
        <v>705</v>
      </c>
      <c r="B14" s="2"/>
      <c r="C14" s="21" t="n">
        <f aca="false">SUM(D14:AZ14)</f>
        <v>734.944782462514</v>
      </c>
      <c r="D14" s="21" t="n">
        <f aca="false">-(D11+D12)</f>
        <v>-0</v>
      </c>
      <c r="E14" s="21" t="n">
        <f aca="false">-(E11+E12)</f>
        <v>-0</v>
      </c>
      <c r="F14" s="21" t="n">
        <f aca="false">-(F11+F12)</f>
        <v>-0</v>
      </c>
      <c r="G14" s="21" t="n">
        <f aca="false">-(G11+G12)</f>
        <v>-0</v>
      </c>
      <c r="H14" s="21" t="n">
        <f aca="false">-(H11+H12)</f>
        <v>88.0053662743687</v>
      </c>
      <c r="I14" s="21" t="n">
        <f aca="false">-(I11+I12)</f>
        <v>102.48339952946</v>
      </c>
      <c r="J14" s="21" t="n">
        <f aca="false">-(J11+J12)</f>
        <v>106.25937397437</v>
      </c>
      <c r="K14" s="21" t="n">
        <f aca="false">-(K11+K12)</f>
        <v>110.258903044751</v>
      </c>
      <c r="L14" s="21" t="n">
        <f aca="false">-(L11+L12)</f>
        <v>110.191868306476</v>
      </c>
      <c r="M14" s="21" t="n">
        <f aca="false">-(M11+M12)</f>
        <v>80.1787046096411</v>
      </c>
      <c r="N14" s="21" t="n">
        <f aca="false">-(N11+N12)</f>
        <v>82.8843828941575</v>
      </c>
      <c r="O14" s="21" t="n">
        <f aca="false">-(O11+O12)</f>
        <v>54.6827838292907</v>
      </c>
      <c r="P14" s="21" t="n">
        <f aca="false">-(P11+P12)</f>
        <v>-0</v>
      </c>
      <c r="Q14" s="21" t="n">
        <f aca="false">-(Q11+Q12)</f>
        <v>-0</v>
      </c>
      <c r="R14" s="21" t="n">
        <f aca="false">-(R11+R12)</f>
        <v>-0</v>
      </c>
      <c r="S14" s="21" t="n">
        <f aca="false">-(S11+S12)</f>
        <v>-0</v>
      </c>
      <c r="T14" s="21" t="n">
        <f aca="false">-(T11+T12)</f>
        <v>-0</v>
      </c>
      <c r="U14" s="21" t="n">
        <f aca="false">-(U11+U12)</f>
        <v>-0</v>
      </c>
      <c r="V14" s="21" t="n">
        <f aca="false">-(V11+V12)</f>
        <v>-0</v>
      </c>
      <c r="W14" s="21" t="n">
        <f aca="false">-(W11+W12)</f>
        <v>-0</v>
      </c>
      <c r="X14" s="21" t="n">
        <f aca="false">-(X11+X12)</f>
        <v>-0</v>
      </c>
      <c r="Y14" s="21" t="n">
        <f aca="false">-(Y11+Y12)</f>
        <v>-0</v>
      </c>
      <c r="Z14" s="21" t="n">
        <f aca="false">-(Z11+Z12)</f>
        <v>-0</v>
      </c>
      <c r="AA14" s="21" t="n">
        <f aca="false">-(AA11+AA12)</f>
        <v>-0</v>
      </c>
      <c r="AB14" s="21" t="n">
        <f aca="false">-(AB11+AB12)</f>
        <v>-0</v>
      </c>
      <c r="AC14" s="21" t="n">
        <f aca="false">-(AC11+AC12)</f>
        <v>-0</v>
      </c>
      <c r="AD14" s="21" t="n">
        <f aca="false">-(AD11+AD12)</f>
        <v>-0</v>
      </c>
      <c r="AE14" s="21" t="n">
        <f aca="false">-(AE11+AE12)</f>
        <v>-0</v>
      </c>
      <c r="AF14" s="21" t="n">
        <f aca="false">-(AF11+AF12)</f>
        <v>-0</v>
      </c>
      <c r="AG14" s="21" t="n">
        <f aca="false">-(AG11+AG12)</f>
        <v>-0</v>
      </c>
      <c r="AH14" s="21" t="n">
        <f aca="false">-(AH11+AH12)</f>
        <v>-0</v>
      </c>
      <c r="AI14" s="21" t="n">
        <f aca="false">-(AI11+AI12)</f>
        <v>-0</v>
      </c>
      <c r="AJ14" s="21" t="n">
        <f aca="false">-(AJ11+AJ12)</f>
        <v>-0</v>
      </c>
      <c r="AK14" s="21" t="n">
        <f aca="false">-(AK11+AK12)</f>
        <v>-0</v>
      </c>
      <c r="AL14" s="21" t="n">
        <f aca="false">-(AL11+AL12)</f>
        <v>-0</v>
      </c>
      <c r="AM14" s="21" t="n">
        <f aca="false">-(AM11+AM12)</f>
        <v>-0</v>
      </c>
      <c r="AN14" s="21" t="n">
        <f aca="false">-(AN11+AN12)</f>
        <v>-0</v>
      </c>
      <c r="AO14" s="21" t="n">
        <f aca="false">-(AO11+AO12)</f>
        <v>-0</v>
      </c>
      <c r="AP14" s="21" t="n">
        <f aca="false">-(AP11+AP12)</f>
        <v>-0</v>
      </c>
      <c r="AQ14" s="21" t="n">
        <f aca="false">-(AQ11+AQ12)</f>
        <v>-0</v>
      </c>
      <c r="AR14" s="21" t="n">
        <f aca="false">-(AR11+AR12)</f>
        <v>-0</v>
      </c>
      <c r="AS14" s="21" t="n">
        <f aca="false">-(AS11+AS12)</f>
        <v>-0</v>
      </c>
      <c r="AT14" s="21" t="n">
        <f aca="false">-(AT11+AT12)</f>
        <v>-0</v>
      </c>
      <c r="AU14" s="21" t="n">
        <f aca="false">-(AU11+AU12)</f>
        <v>-0</v>
      </c>
      <c r="AV14" s="21" t="n">
        <f aca="false">-(AV11+AV12)</f>
        <v>-0</v>
      </c>
      <c r="AW14" s="21" t="n">
        <f aca="false">-(AW11+AW12)</f>
        <v>-0</v>
      </c>
      <c r="AX14" s="21" t="n">
        <f aca="false">-(AX11+AX12)</f>
        <v>-0</v>
      </c>
      <c r="AY14" s="21" t="n">
        <f aca="false">-(AY11+AY12)</f>
        <v>-0</v>
      </c>
      <c r="AZ14" s="21" t="n">
        <f aca="false">-(AZ11+AZ12)</f>
        <v>-0</v>
      </c>
    </row>
    <row r="15" customFormat="false" ht="15" hidden="false" customHeight="true" outlineLevel="0" collapsed="false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customFormat="false" ht="15" hidden="false" customHeight="true" outlineLevel="0" collapsed="false">
      <c r="A16" s="11" t="s">
        <v>706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</row>
    <row r="17" customFormat="false" ht="15" hidden="false" customHeight="true" outlineLevel="0" collapsed="false">
      <c r="A17" s="6" t="s">
        <v>707</v>
      </c>
      <c r="B17" s="2"/>
      <c r="C17" s="21" t="n">
        <f aca="false">SUM(D17:AZ17)</f>
        <v>6794.88771492634</v>
      </c>
      <c r="D17" s="40" t="n">
        <f aca="false">'SPV Cash Flow'!D49</f>
        <v>0</v>
      </c>
      <c r="E17" s="40" t="n">
        <f aca="false">'SPV Cash Flow'!E49</f>
        <v>0</v>
      </c>
      <c r="F17" s="40" t="n">
        <f aca="false">'SPV Cash Flow'!F49</f>
        <v>0</v>
      </c>
      <c r="G17" s="40" t="n">
        <f aca="false">'SPV Cash Flow'!G49</f>
        <v>0</v>
      </c>
      <c r="H17" s="40" t="n">
        <f aca="false">'SPV Cash Flow'!H49</f>
        <v>88.0053662743687</v>
      </c>
      <c r="I17" s="40" t="n">
        <f aca="false">'SPV Cash Flow'!I49</f>
        <v>102.48339952946</v>
      </c>
      <c r="J17" s="40" t="n">
        <f aca="false">'SPV Cash Flow'!J49</f>
        <v>106.25937397437</v>
      </c>
      <c r="K17" s="40" t="n">
        <f aca="false">'SPV Cash Flow'!K49</f>
        <v>110.258903044751</v>
      </c>
      <c r="L17" s="40" t="n">
        <f aca="false">'SPV Cash Flow'!L49</f>
        <v>110.191868306476</v>
      </c>
      <c r="M17" s="40" t="n">
        <f aca="false">'SPV Cash Flow'!M49</f>
        <v>80.1787046096411</v>
      </c>
      <c r="N17" s="40" t="n">
        <f aca="false">'SPV Cash Flow'!N49</f>
        <v>82.8843828941575</v>
      </c>
      <c r="O17" s="40" t="n">
        <f aca="false">'SPV Cash Flow'!O49</f>
        <v>89.3690098549794</v>
      </c>
      <c r="P17" s="40" t="n">
        <f aca="false">'SPV Cash Flow'!P49</f>
        <v>91.8507341279337</v>
      </c>
      <c r="Q17" s="40" t="n">
        <f aca="false">'SPV Cash Flow'!Q49</f>
        <v>94.7052772492673</v>
      </c>
      <c r="R17" s="40" t="n">
        <f aca="false">'SPV Cash Flow'!R49</f>
        <v>101.948663939324</v>
      </c>
      <c r="S17" s="40" t="n">
        <f aca="false">'SPV Cash Flow'!S49</f>
        <v>103.29370197066</v>
      </c>
      <c r="T17" s="40" t="n">
        <f aca="false">'SPV Cash Flow'!T49</f>
        <v>104.670559409812</v>
      </c>
      <c r="U17" s="40" t="n">
        <f aca="false">'SPV Cash Flow'!U49</f>
        <v>110.702701020092</v>
      </c>
      <c r="V17" s="40" t="n">
        <f aca="false">'SPV Cash Flow'!V49</f>
        <v>112.145481963345</v>
      </c>
      <c r="W17" s="40" t="n">
        <f aca="false">'SPV Cash Flow'!W49</f>
        <v>113.622403446913</v>
      </c>
      <c r="X17" s="40" t="n">
        <f aca="false">'SPV Cash Flow'!X49</f>
        <v>120.21925647676</v>
      </c>
      <c r="Y17" s="40" t="n">
        <f aca="false">'SPV Cash Flow'!Y49</f>
        <v>121.766911019831</v>
      </c>
      <c r="Z17" s="40" t="n">
        <f aca="false">'SPV Cash Flow'!Z49</f>
        <v>123.351197204396</v>
      </c>
      <c r="AA17" s="40" t="n">
        <f aca="false">'SPV Cash Flow'!AA49</f>
        <v>130.56646343692</v>
      </c>
      <c r="AB17" s="40" t="n">
        <f aca="false">'SPV Cash Flow'!AB49</f>
        <v>132.226644468802</v>
      </c>
      <c r="AC17" s="40" t="n">
        <f aca="false">'SPV Cash Flow'!AC49</f>
        <v>133.926130704626</v>
      </c>
      <c r="AD17" s="40" t="n">
        <f aca="false">'SPV Cash Flow'!AD49</f>
        <v>141.818682118291</v>
      </c>
      <c r="AE17" s="40" t="n">
        <f aca="false">'SPV Cash Flow'!AE49</f>
        <v>143.599603113711</v>
      </c>
      <c r="AF17" s="40" t="n">
        <f aca="false">'SPV Cash Flow'!AF49</f>
        <v>145.422698750871</v>
      </c>
      <c r="AG17" s="40" t="n">
        <f aca="false">'SPV Cash Flow'!AG49</f>
        <v>154.057080040241</v>
      </c>
      <c r="AH17" s="40" t="n">
        <f aca="false">'SPV Cash Flow'!AH49</f>
        <v>155.967556275903</v>
      </c>
      <c r="AI17" s="40" t="n">
        <f aca="false">'SPV Cash Flow'!AI49</f>
        <v>157.923286870239</v>
      </c>
      <c r="AJ17" s="40" t="n">
        <f aca="false">'SPV Cash Flow'!AJ49</f>
        <v>167.370267163486</v>
      </c>
      <c r="AK17" s="40" t="n">
        <f aca="false">'SPV Cash Flow'!AK49</f>
        <v>169.419759975531</v>
      </c>
      <c r="AL17" s="40" t="n">
        <f aca="false">'SPV Cash Flow'!AL49</f>
        <v>171.51781260908</v>
      </c>
      <c r="AM17" s="40" t="n">
        <f aca="false">'SPV Cash Flow'!AM49</f>
        <v>181.854991224817</v>
      </c>
      <c r="AN17" s="40" t="n">
        <f aca="false">'SPV Cash Flow'!AN49</f>
        <v>184.053655532667</v>
      </c>
      <c r="AO17" s="40" t="n">
        <f aca="false">'SPV Cash Flow'!AO49</f>
        <v>186.304427479192</v>
      </c>
      <c r="AP17" s="40" t="n">
        <f aca="false">'SPV Cash Flow'!AP49</f>
        <v>197.616899043803</v>
      </c>
      <c r="AQ17" s="40" t="n">
        <f aca="false">'SPV Cash Flow'!AQ49</f>
        <v>199.975634382279</v>
      </c>
      <c r="AR17" s="40" t="n">
        <f aca="false">'SPV Cash Flow'!AR49</f>
        <v>202.390285365644</v>
      </c>
      <c r="AS17" s="40" t="n">
        <f aca="false">'SPV Cash Flow'!AS49</f>
        <v>214.771370138322</v>
      </c>
      <c r="AT17" s="40" t="n">
        <f aca="false">'SPV Cash Flow'!AT49</f>
        <v>217.301875457915</v>
      </c>
      <c r="AU17" s="40" t="n">
        <f aca="false">'SPV Cash Flow'!AU49</f>
        <v>219.892383769443</v>
      </c>
      <c r="AV17" s="40" t="n">
        <f aca="false">'SPV Cash Flow'!AV49</f>
        <v>233.444429600343</v>
      </c>
      <c r="AW17" s="40" t="n">
        <f aca="false">'SPV Cash Flow'!AW49</f>
        <v>236.159262114809</v>
      </c>
      <c r="AX17" s="40" t="n">
        <f aca="false">'SPV Cash Flow'!AX49</f>
        <v>238.938484875572</v>
      </c>
      <c r="AY17" s="40" t="n">
        <f aca="false">'SPV Cash Flow'!AY49</f>
        <v>253.773747858044</v>
      </c>
      <c r="AZ17" s="40" t="n">
        <f aca="false">'SPV Cash Flow'!AZ49</f>
        <v>256.686386239255</v>
      </c>
    </row>
    <row r="18" customFormat="false" ht="15" hidden="false" customHeight="true" outlineLevel="0" collapsed="false">
      <c r="A18" s="6" t="s">
        <v>708</v>
      </c>
      <c r="B18" s="2"/>
      <c r="C18" s="2"/>
      <c r="D18" s="54" t="n">
        <f aca="false">IF(D14&lt;=0,0,D17/D14)</f>
        <v>0</v>
      </c>
      <c r="E18" s="54" t="n">
        <f aca="false">IF(E14&lt;=0,0,E17/E14)</f>
        <v>0</v>
      </c>
      <c r="F18" s="54" t="n">
        <f aca="false">IF(F14&lt;=0,0,F17/F14)</f>
        <v>0</v>
      </c>
      <c r="G18" s="54" t="n">
        <f aca="false">IF(G14&lt;=0,0,G17/G14)</f>
        <v>0</v>
      </c>
      <c r="H18" s="54" t="n">
        <f aca="false">IF(H14&lt;=0,0,H17/H14)</f>
        <v>1</v>
      </c>
      <c r="I18" s="54" t="n">
        <f aca="false">IF(I14&lt;=0,0,I17/I14)</f>
        <v>1</v>
      </c>
      <c r="J18" s="54" t="n">
        <f aca="false">IF(J14&lt;=0,0,J17/J14)</f>
        <v>1</v>
      </c>
      <c r="K18" s="54" t="n">
        <f aca="false">IF(K14&lt;=0,0,K17/K14)</f>
        <v>1</v>
      </c>
      <c r="L18" s="54" t="n">
        <f aca="false">IF(L14&lt;=0,0,L17/L14)</f>
        <v>1</v>
      </c>
      <c r="M18" s="54" t="n">
        <f aca="false">IF(M14&lt;=0,0,M17/M14)</f>
        <v>1</v>
      </c>
      <c r="N18" s="54" t="n">
        <f aca="false">IF(N14&lt;=0,0,N17/N14)</f>
        <v>1</v>
      </c>
      <c r="O18" s="54" t="n">
        <f aca="false">IF(O14&lt;=0,0,O17/O14)</f>
        <v>1.63431712134431</v>
      </c>
      <c r="P18" s="54" t="n">
        <f aca="false">IF(P14&lt;=0,0,P17/P14)</f>
        <v>0</v>
      </c>
      <c r="Q18" s="54" t="n">
        <f aca="false">IF(Q14&lt;=0,0,Q17/Q14)</f>
        <v>0</v>
      </c>
      <c r="R18" s="54" t="n">
        <f aca="false">IF(R14&lt;=0,0,R17/R14)</f>
        <v>0</v>
      </c>
      <c r="S18" s="54" t="n">
        <f aca="false">IF(S14&lt;=0,0,S17/S14)</f>
        <v>0</v>
      </c>
      <c r="T18" s="54" t="n">
        <f aca="false">IF(T14&lt;=0,0,T17/T14)</f>
        <v>0</v>
      </c>
      <c r="U18" s="54" t="n">
        <f aca="false">IF(U14&lt;=0,0,U17/U14)</f>
        <v>0</v>
      </c>
      <c r="V18" s="54" t="n">
        <f aca="false">IF(V14&lt;=0,0,V17/V14)</f>
        <v>0</v>
      </c>
      <c r="W18" s="54" t="n">
        <f aca="false">IF(W14&lt;=0,0,W17/W14)</f>
        <v>0</v>
      </c>
      <c r="X18" s="54" t="n">
        <f aca="false">IF(X14&lt;=0,0,X17/X14)</f>
        <v>0</v>
      </c>
      <c r="Y18" s="54" t="n">
        <f aca="false">IF(Y14&lt;=0,0,Y17/Y14)</f>
        <v>0</v>
      </c>
      <c r="Z18" s="54" t="n">
        <f aca="false">IF(Z14&lt;=0,0,Z17/Z14)</f>
        <v>0</v>
      </c>
      <c r="AA18" s="54" t="n">
        <f aca="false">IF(AA14&lt;=0,0,AA17/AA14)</f>
        <v>0</v>
      </c>
      <c r="AB18" s="54" t="n">
        <f aca="false">IF(AB14&lt;=0,0,AB17/AB14)</f>
        <v>0</v>
      </c>
      <c r="AC18" s="54" t="n">
        <f aca="false">IF(AC14&lt;=0,0,AC17/AC14)</f>
        <v>0</v>
      </c>
      <c r="AD18" s="54" t="n">
        <f aca="false">IF(AD14&lt;=0,0,AD17/AD14)</f>
        <v>0</v>
      </c>
      <c r="AE18" s="54" t="n">
        <f aca="false">IF(AE14&lt;=0,0,AE17/AE14)</f>
        <v>0</v>
      </c>
      <c r="AF18" s="54" t="n">
        <f aca="false">IF(AF14&lt;=0,0,AF17/AF14)</f>
        <v>0</v>
      </c>
      <c r="AG18" s="54" t="n">
        <f aca="false">IF(AG14&lt;=0,0,AG17/AG14)</f>
        <v>0</v>
      </c>
      <c r="AH18" s="54" t="n">
        <f aca="false">IF(AH14&lt;=0,0,AH17/AH14)</f>
        <v>0</v>
      </c>
      <c r="AI18" s="54" t="n">
        <f aca="false">IF(AI14&lt;=0,0,AI17/AI14)</f>
        <v>0</v>
      </c>
      <c r="AJ18" s="54" t="n">
        <f aca="false">IF(AJ14&lt;=0,0,AJ17/AJ14)</f>
        <v>0</v>
      </c>
      <c r="AK18" s="54" t="n">
        <f aca="false">IF(AK14&lt;=0,0,AK17/AK14)</f>
        <v>0</v>
      </c>
      <c r="AL18" s="54" t="n">
        <f aca="false">IF(AL14&lt;=0,0,AL17/AL14)</f>
        <v>0</v>
      </c>
      <c r="AM18" s="54" t="n">
        <f aca="false">IF(AM14&lt;=0,0,AM17/AM14)</f>
        <v>0</v>
      </c>
      <c r="AN18" s="54" t="n">
        <f aca="false">IF(AN14&lt;=0,0,AN17/AN14)</f>
        <v>0</v>
      </c>
      <c r="AO18" s="54" t="n">
        <f aca="false">IF(AO14&lt;=0,0,AO17/AO14)</f>
        <v>0</v>
      </c>
      <c r="AP18" s="54" t="n">
        <f aca="false">IF(AP14&lt;=0,0,AP17/AP14)</f>
        <v>0</v>
      </c>
      <c r="AQ18" s="54" t="n">
        <f aca="false">IF(AQ14&lt;=0,0,AQ17/AQ14)</f>
        <v>0</v>
      </c>
      <c r="AR18" s="54" t="n">
        <f aca="false">IF(AR14&lt;=0,0,AR17/AR14)</f>
        <v>0</v>
      </c>
      <c r="AS18" s="54" t="n">
        <f aca="false">IF(AS14&lt;=0,0,AS17/AS14)</f>
        <v>0</v>
      </c>
      <c r="AT18" s="54" t="n">
        <f aca="false">IF(AT14&lt;=0,0,AT17/AT14)</f>
        <v>0</v>
      </c>
      <c r="AU18" s="54" t="n">
        <f aca="false">IF(AU14&lt;=0,0,AU17/AU14)</f>
        <v>0</v>
      </c>
      <c r="AV18" s="54" t="n">
        <f aca="false">IF(AV14&lt;=0,0,AV17/AV14)</f>
        <v>0</v>
      </c>
      <c r="AW18" s="54" t="n">
        <f aca="false">IF(AW14&lt;=0,0,AW17/AW14)</f>
        <v>0</v>
      </c>
      <c r="AX18" s="54" t="n">
        <f aca="false">IF(AX14&lt;=0,0,AX17/AX14)</f>
        <v>0</v>
      </c>
      <c r="AY18" s="54" t="n">
        <f aca="false">IF(AY14&lt;=0,0,AY17/AY14)</f>
        <v>0</v>
      </c>
      <c r="AZ18" s="54" t="n">
        <f aca="false">IF(AZ14&lt;=0,0,AZ17/AZ14)</f>
        <v>0</v>
      </c>
    </row>
    <row r="19" customFormat="false" ht="15" hidden="false" customHeight="true" outlineLevel="0" collapsed="false">
      <c r="A19" s="13" t="s">
        <v>709</v>
      </c>
      <c r="B19" s="2"/>
      <c r="C19" s="2"/>
      <c r="D19" s="24" t="n">
        <f aca="false">IF(D13&lt;=0.001,0,NPV(Inputs!$B$188,E17:AZ17)/D13)</f>
        <v>35.5230907114915</v>
      </c>
      <c r="E19" s="24" t="n">
        <f aca="false">IF(E13&lt;=0.001,0,NPV(Inputs!$B$188,F17:AZ17)/E13)</f>
        <v>6.00925388549058</v>
      </c>
      <c r="F19" s="24" t="n">
        <f aca="false">IF(F13&lt;=0.001,0,NPV(Inputs!$B$188,G17:AZ17)/F13)</f>
        <v>3.09251392223518</v>
      </c>
      <c r="G19" s="24" t="n">
        <f aca="false">IF(G13&lt;=0.001,0,NPV(Inputs!$B$188,H17:AZ17)/G13)</f>
        <v>3.02292235614925</v>
      </c>
      <c r="H19" s="24" t="n">
        <f aca="false">IF(H13&lt;=0.001,0,NPV(Inputs!$B$188,I17:AZ17)/H13)</f>
        <v>3.36703186222987</v>
      </c>
      <c r="I19" s="24" t="n">
        <f aca="false">IF(I13&lt;=0.001,0,NPV(Inputs!$B$188,J17:AZ17)/I13)</f>
        <v>3.90790043782572</v>
      </c>
      <c r="J19" s="24" t="n">
        <f aca="false">IF(J13&lt;=0.001,0,NPV(Inputs!$B$188,K17:AZ17)/J13)</f>
        <v>4.73987205996434</v>
      </c>
      <c r="K19" s="24" t="n">
        <f aca="false">IF(K13&lt;=0.001,0,NPV(Inputs!$B$188,L17:AZ17)/K13)</f>
        <v>6.18531490302196</v>
      </c>
      <c r="L19" s="24" t="n">
        <f aca="false">IF(L13&lt;=0.001,0,NPV(Inputs!$B$188,M17:AZ17)/L13)</f>
        <v>9.1361975027113</v>
      </c>
      <c r="M19" s="24" t="n">
        <f aca="false">IF(M13&lt;=0.001,0,NPV(Inputs!$B$188,N17:AZ17)/M13)</f>
        <v>14.312044644353</v>
      </c>
      <c r="N19" s="24" t="n">
        <f aca="false">IF(N13&lt;=0.001,0,NPV(Inputs!$B$188,O17:AZ17)/N13)</f>
        <v>35.801057501242</v>
      </c>
      <c r="O19" s="24" t="n">
        <f aca="false">IF(O13&lt;=0.001,0,NPV(Inputs!$B$188,P17:AZ17)/O13)</f>
        <v>0</v>
      </c>
      <c r="P19" s="24" t="n">
        <f aca="false">IF(P13&lt;=0.001,0,NPV(Inputs!$B$188,Q17:AZ17)/P13)</f>
        <v>0</v>
      </c>
      <c r="Q19" s="24" t="n">
        <f aca="false">IF(Q13&lt;=0.001,0,NPV(Inputs!$B$188,R17:AZ17)/Q13)</f>
        <v>0</v>
      </c>
      <c r="R19" s="24" t="n">
        <f aca="false">IF(R13&lt;=0.001,0,NPV(Inputs!$B$188,S17:AZ17)/R13)</f>
        <v>0</v>
      </c>
      <c r="S19" s="24" t="n">
        <f aca="false">IF(S13&lt;=0.001,0,NPV(Inputs!$B$188,T17:AZ17)/S13)</f>
        <v>0</v>
      </c>
      <c r="T19" s="24" t="n">
        <f aca="false">IF(T13&lt;=0.001,0,NPV(Inputs!$B$188,U17:AZ17)/T13)</f>
        <v>0</v>
      </c>
      <c r="U19" s="24" t="n">
        <f aca="false">IF(U13&lt;=0.001,0,NPV(Inputs!$B$188,V17:AZ17)/U13)</f>
        <v>0</v>
      </c>
      <c r="V19" s="24" t="n">
        <f aca="false">IF(V13&lt;=0.001,0,NPV(Inputs!$B$188,W17:AZ17)/V13)</f>
        <v>0</v>
      </c>
      <c r="W19" s="24" t="n">
        <f aca="false">IF(W13&lt;=0.001,0,NPV(Inputs!$B$188,X17:AZ17)/W13)</f>
        <v>0</v>
      </c>
      <c r="X19" s="24" t="n">
        <f aca="false">IF(X13&lt;=0.001,0,NPV(Inputs!$B$188,Y17:AZ17)/X13)</f>
        <v>0</v>
      </c>
      <c r="Y19" s="24" t="n">
        <f aca="false">IF(Y13&lt;=0.001,0,NPV(Inputs!$B$188,Z17:AZ17)/Y13)</f>
        <v>0</v>
      </c>
      <c r="Z19" s="24" t="n">
        <f aca="false">IF(Z13&lt;=0.001,0,NPV(Inputs!$B$188,AA17:AZ17)/Z13)</f>
        <v>0</v>
      </c>
      <c r="AA19" s="24" t="n">
        <f aca="false">IF(AA13&lt;=0.001,0,NPV(Inputs!$B$188,AB17:AZ17)/AA13)</f>
        <v>0</v>
      </c>
      <c r="AB19" s="24" t="n">
        <f aca="false">IF(AB13&lt;=0.001,0,NPV(Inputs!$B$188,AC17:AZ17)/AB13)</f>
        <v>0</v>
      </c>
      <c r="AC19" s="24" t="n">
        <f aca="false">IF(AC13&lt;=0.001,0,NPV(Inputs!$B$188,AD17:AZ17)/AC13)</f>
        <v>0</v>
      </c>
      <c r="AD19" s="24" t="n">
        <f aca="false">IF(AD13&lt;=0.001,0,NPV(Inputs!$B$188,AE17:AZ17)/AD13)</f>
        <v>0</v>
      </c>
      <c r="AE19" s="24" t="n">
        <f aca="false">IF(AE13&lt;=0.001,0,NPV(Inputs!$B$188,AF17:AZ17)/AE13)</f>
        <v>0</v>
      </c>
      <c r="AF19" s="24" t="n">
        <f aca="false">IF(AF13&lt;=0.001,0,NPV(Inputs!$B$188,AG17:AZ17)/AF13)</f>
        <v>0</v>
      </c>
      <c r="AG19" s="24" t="n">
        <f aca="false">IF(AG13&lt;=0.001,0,NPV(Inputs!$B$188,AH17:AZ17)/AG13)</f>
        <v>0</v>
      </c>
      <c r="AH19" s="24" t="n">
        <f aca="false">IF(AH13&lt;=0.001,0,NPV(Inputs!$B$188,AI17:AZ17)/AH13)</f>
        <v>0</v>
      </c>
      <c r="AI19" s="24" t="n">
        <f aca="false">IF(AI13&lt;=0.001,0,NPV(Inputs!$B$188,AJ17:AZ17)/AI13)</f>
        <v>0</v>
      </c>
      <c r="AJ19" s="24" t="n">
        <f aca="false">IF(AJ13&lt;=0.001,0,NPV(Inputs!$B$188,AK17:AZ17)/AJ13)</f>
        <v>0</v>
      </c>
      <c r="AK19" s="24" t="n">
        <f aca="false">IF(AK13&lt;=0.001,0,NPV(Inputs!$B$188,AL17:AZ17)/AK13)</f>
        <v>0</v>
      </c>
      <c r="AL19" s="24" t="n">
        <f aca="false">IF(AL13&lt;=0.001,0,NPV(Inputs!$B$188,AM17:AZ17)/AL13)</f>
        <v>0</v>
      </c>
      <c r="AM19" s="24" t="n">
        <f aca="false">IF(AM13&lt;=0.001,0,NPV(Inputs!$B$188,AN17:AZ17)/AM13)</f>
        <v>0</v>
      </c>
      <c r="AN19" s="24" t="n">
        <f aca="false">IF(AN13&lt;=0.001,0,NPV(Inputs!$B$188,AO17:AZ17)/AN13)</f>
        <v>0</v>
      </c>
      <c r="AO19" s="24" t="n">
        <f aca="false">IF(AO13&lt;=0.001,0,NPV(Inputs!$B$188,AP17:AZ17)/AO13)</f>
        <v>0</v>
      </c>
      <c r="AP19" s="24" t="n">
        <f aca="false">IF(AP13&lt;=0.001,0,NPV(Inputs!$B$188,AQ17:AZ17)/AP13)</f>
        <v>0</v>
      </c>
      <c r="AQ19" s="24" t="n">
        <f aca="false">IF(AQ13&lt;=0.001,0,NPV(Inputs!$B$188,AR17:AZ17)/AQ13)</f>
        <v>0</v>
      </c>
      <c r="AR19" s="24" t="n">
        <f aca="false">IF(AR13&lt;=0.001,0,NPV(Inputs!$B$188,AS17:AZ17)/AR13)</f>
        <v>0</v>
      </c>
      <c r="AS19" s="24" t="n">
        <f aca="false">IF(AS13&lt;=0.001,0,NPV(Inputs!$B$188,AT17:AZ17)/AS13)</f>
        <v>0</v>
      </c>
      <c r="AT19" s="24" t="n">
        <f aca="false">IF(AT13&lt;=0.001,0,NPV(Inputs!$B$188,AU17:AZ17)/AT13)</f>
        <v>0</v>
      </c>
      <c r="AU19" s="24" t="n">
        <f aca="false">IF(AU13&lt;=0.001,0,NPV(Inputs!$B$188,AV17:AZ17)/AU13)</f>
        <v>0</v>
      </c>
      <c r="AV19" s="24" t="n">
        <f aca="false">IF(AV13&lt;=0.001,0,NPV(Inputs!$B$188,AW17:AZ17)/AV13)</f>
        <v>0</v>
      </c>
      <c r="AW19" s="24" t="n">
        <f aca="false">IF(AW13&lt;=0.001,0,NPV(Inputs!$B$188,AX17:AZ17)/AW13)</f>
        <v>0</v>
      </c>
      <c r="AX19" s="24" t="n">
        <f aca="false">IF(AX13&lt;=0.001,0,NPV(Inputs!$B$188,AY17:AZ17)/AX13)</f>
        <v>0</v>
      </c>
      <c r="AY19" s="24" t="n">
        <f aca="false">IF(AY13&lt;=0.001,0,NPV(Inputs!$B$188,AZ17:AZ17)/AY13)</f>
        <v>0</v>
      </c>
      <c r="AZ19" s="24" t="n">
        <f aca="false">IF(AZ13&lt;=0.001,0,NPV(Inputs!$B$188,AZ17:AZ17)/AZ13)</f>
        <v>0</v>
      </c>
    </row>
    <row r="20" customFormat="false" ht="15" hidden="false" customHeight="true" outlineLevel="0" collapsed="false">
      <c r="A20" s="13" t="s">
        <v>710</v>
      </c>
      <c r="B20" s="2"/>
      <c r="C20" s="2"/>
      <c r="D20" s="85" t="n">
        <f aca="false">IF(D14&lt;=0.001,99,D18)</f>
        <v>99</v>
      </c>
      <c r="E20" s="85" t="n">
        <f aca="false">IF(E14&lt;=0.001,99,E18)</f>
        <v>99</v>
      </c>
      <c r="F20" s="85" t="n">
        <f aca="false">IF(F14&lt;=0.001,99,F18)</f>
        <v>99</v>
      </c>
      <c r="G20" s="85" t="n">
        <f aca="false">IF(G14&lt;=0.001,99,G18)</f>
        <v>99</v>
      </c>
      <c r="H20" s="85" t="n">
        <f aca="false">IF(H14&lt;=0.001,99,H18)</f>
        <v>1</v>
      </c>
      <c r="I20" s="85" t="n">
        <f aca="false">IF(I14&lt;=0.001,99,I18)</f>
        <v>1</v>
      </c>
      <c r="J20" s="85" t="n">
        <f aca="false">IF(J14&lt;=0.001,99,J18)</f>
        <v>1</v>
      </c>
      <c r="K20" s="85" t="n">
        <f aca="false">IF(K14&lt;=0.001,99,K18)</f>
        <v>1</v>
      </c>
      <c r="L20" s="85" t="n">
        <f aca="false">IF(L14&lt;=0.001,99,L18)</f>
        <v>1</v>
      </c>
      <c r="M20" s="85" t="n">
        <f aca="false">IF(M14&lt;=0.001,99,M18)</f>
        <v>1</v>
      </c>
      <c r="N20" s="85" t="n">
        <f aca="false">IF(N14&lt;=0.001,99,N18)</f>
        <v>1</v>
      </c>
      <c r="O20" s="85" t="n">
        <f aca="false">IF(O14&lt;=0.001,99,O18)</f>
        <v>1.63431712134431</v>
      </c>
      <c r="P20" s="85" t="n">
        <f aca="false">IF(P14&lt;=0.001,99,P18)</f>
        <v>99</v>
      </c>
      <c r="Q20" s="85" t="n">
        <f aca="false">IF(Q14&lt;=0.001,99,Q18)</f>
        <v>99</v>
      </c>
      <c r="R20" s="85" t="n">
        <f aca="false">IF(R14&lt;=0.001,99,R18)</f>
        <v>99</v>
      </c>
      <c r="S20" s="85" t="n">
        <f aca="false">IF(S14&lt;=0.001,99,S18)</f>
        <v>99</v>
      </c>
      <c r="T20" s="85" t="n">
        <f aca="false">IF(T14&lt;=0.001,99,T18)</f>
        <v>99</v>
      </c>
      <c r="U20" s="85" t="n">
        <f aca="false">IF(U14&lt;=0.001,99,U18)</f>
        <v>99</v>
      </c>
      <c r="V20" s="85" t="n">
        <f aca="false">IF(V14&lt;=0.001,99,V18)</f>
        <v>99</v>
      </c>
      <c r="W20" s="85" t="n">
        <f aca="false">IF(W14&lt;=0.001,99,W18)</f>
        <v>99</v>
      </c>
      <c r="X20" s="85" t="n">
        <f aca="false">IF(X14&lt;=0.001,99,X18)</f>
        <v>99</v>
      </c>
      <c r="Y20" s="85" t="n">
        <f aca="false">IF(Y14&lt;=0.001,99,Y18)</f>
        <v>99</v>
      </c>
      <c r="Z20" s="85" t="n">
        <f aca="false">IF(Z14&lt;=0.001,99,Z18)</f>
        <v>99</v>
      </c>
      <c r="AA20" s="85" t="n">
        <f aca="false">IF(AA14&lt;=0.001,99,AA18)</f>
        <v>99</v>
      </c>
      <c r="AB20" s="85" t="n">
        <f aca="false">IF(AB14&lt;=0.001,99,AB18)</f>
        <v>99</v>
      </c>
      <c r="AC20" s="85" t="n">
        <f aca="false">IF(AC14&lt;=0.001,99,AC18)</f>
        <v>99</v>
      </c>
      <c r="AD20" s="85" t="n">
        <f aca="false">IF(AD14&lt;=0.001,99,AD18)</f>
        <v>99</v>
      </c>
      <c r="AE20" s="85" t="n">
        <f aca="false">IF(AE14&lt;=0.001,99,AE18)</f>
        <v>99</v>
      </c>
      <c r="AF20" s="85" t="n">
        <f aca="false">IF(AF14&lt;=0.001,99,AF18)</f>
        <v>99</v>
      </c>
      <c r="AG20" s="85" t="n">
        <f aca="false">IF(AG14&lt;=0.001,99,AG18)</f>
        <v>99</v>
      </c>
      <c r="AH20" s="85" t="n">
        <f aca="false">IF(AH14&lt;=0.001,99,AH18)</f>
        <v>99</v>
      </c>
      <c r="AI20" s="85" t="n">
        <f aca="false">IF(AI14&lt;=0.001,99,AI18)</f>
        <v>99</v>
      </c>
      <c r="AJ20" s="85" t="n">
        <f aca="false">IF(AJ14&lt;=0.001,99,AJ18)</f>
        <v>99</v>
      </c>
      <c r="AK20" s="85" t="n">
        <f aca="false">IF(AK14&lt;=0.001,99,AK18)</f>
        <v>99</v>
      </c>
      <c r="AL20" s="85" t="n">
        <f aca="false">IF(AL14&lt;=0.001,99,AL18)</f>
        <v>99</v>
      </c>
      <c r="AM20" s="85" t="n">
        <f aca="false">IF(AM14&lt;=0.001,99,AM18)</f>
        <v>99</v>
      </c>
      <c r="AN20" s="85" t="n">
        <f aca="false">IF(AN14&lt;=0.001,99,AN18)</f>
        <v>99</v>
      </c>
      <c r="AO20" s="85" t="n">
        <f aca="false">IF(AO14&lt;=0.001,99,AO18)</f>
        <v>99</v>
      </c>
      <c r="AP20" s="85" t="n">
        <f aca="false">IF(AP14&lt;=0.001,99,AP18)</f>
        <v>99</v>
      </c>
      <c r="AQ20" s="85" t="n">
        <f aca="false">IF(AQ14&lt;=0.001,99,AQ18)</f>
        <v>99</v>
      </c>
      <c r="AR20" s="85" t="n">
        <f aca="false">IF(AR14&lt;=0.001,99,AR18)</f>
        <v>99</v>
      </c>
      <c r="AS20" s="85" t="n">
        <f aca="false">IF(AS14&lt;=0.001,99,AS18)</f>
        <v>99</v>
      </c>
      <c r="AT20" s="85" t="n">
        <f aca="false">IF(AT14&lt;=0.001,99,AT18)</f>
        <v>99</v>
      </c>
      <c r="AU20" s="85" t="n">
        <f aca="false">IF(AU14&lt;=0.001,99,AU18)</f>
        <v>99</v>
      </c>
      <c r="AV20" s="85" t="n">
        <f aca="false">IF(AV14&lt;=0.001,99,AV18)</f>
        <v>99</v>
      </c>
      <c r="AW20" s="85" t="n">
        <f aca="false">IF(AW14&lt;=0.001,99,AW18)</f>
        <v>99</v>
      </c>
      <c r="AX20" s="85" t="n">
        <f aca="false">IF(AX14&lt;=0.001,99,AX18)</f>
        <v>99</v>
      </c>
      <c r="AY20" s="85" t="n">
        <f aca="false">IF(AY14&lt;=0.001,99,AY18)</f>
        <v>99</v>
      </c>
      <c r="AZ20" s="85" t="n">
        <f aca="false">IF(AZ14&lt;=0.001,99,AZ18)</f>
        <v>99</v>
      </c>
    </row>
    <row r="21" customFormat="false" ht="15" hidden="false" customHeight="true" outlineLevel="0" collapsed="false">
      <c r="A21" s="13" t="s">
        <v>711</v>
      </c>
      <c r="B21" s="2"/>
      <c r="C21" s="2"/>
      <c r="D21" s="85" t="n">
        <f aca="false">IF(D11&gt;=-0.001,99,-D17/D11)</f>
        <v>99</v>
      </c>
      <c r="E21" s="85" t="n">
        <f aca="false">IF(E11&gt;=-0.001,99,-E17/E11)</f>
        <v>99</v>
      </c>
      <c r="F21" s="85" t="n">
        <f aca="false">IF(F11&gt;=-0.001,99,-F17/F11)</f>
        <v>99</v>
      </c>
      <c r="G21" s="85" t="n">
        <f aca="false">IF(G11&gt;=-0.001,99,-G17/G11)</f>
        <v>99</v>
      </c>
      <c r="H21" s="85" t="n">
        <f aca="false">IF(H11&gt;=-0.001,99,-H17/H11)</f>
        <v>2.3819290298904</v>
      </c>
      <c r="I21" s="85" t="n">
        <f aca="false">IF(I11&gt;=-0.001,99,-I17/I11)</f>
        <v>3.04753335756881</v>
      </c>
      <c r="J21" s="85" t="n">
        <f aca="false">IF(J11&gt;=-0.001,99,-J17/J11)</f>
        <v>3.64492015263909</v>
      </c>
      <c r="K21" s="85" t="n">
        <f aca="false">IF(K11&gt;=-0.001,99,-K17/K11)</f>
        <v>4.5673262833356</v>
      </c>
      <c r="L21" s="85" t="n">
        <f aca="false">IF(L11&gt;=-0.001,99,-L17/L11)</f>
        <v>5.94246592772017</v>
      </c>
      <c r="M21" s="85" t="n">
        <f aca="false">IF(M11&gt;=-0.001,99,-M17/M11)</f>
        <v>6.37049130851095</v>
      </c>
      <c r="N21" s="85" t="n">
        <f aca="false">IF(N11&gt;=-0.001,99,-N17/N11)</f>
        <v>10.117198612215</v>
      </c>
      <c r="O21" s="85" t="n">
        <f aca="false">IF(O11&gt;=-0.001,99,-O17/O11)</f>
        <v>26.7776574497182</v>
      </c>
      <c r="P21" s="85" t="n">
        <f aca="false">IF(P11&gt;=-0.001,99,-P17/P11)</f>
        <v>99</v>
      </c>
      <c r="Q21" s="85" t="n">
        <f aca="false">IF(Q11&gt;=-0.001,99,-Q17/Q11)</f>
        <v>99</v>
      </c>
      <c r="R21" s="85" t="n">
        <f aca="false">IF(R11&gt;=-0.001,99,-R17/R11)</f>
        <v>99</v>
      </c>
      <c r="S21" s="85" t="n">
        <f aca="false">IF(S11&gt;=-0.001,99,-S17/S11)</f>
        <v>99</v>
      </c>
      <c r="T21" s="85" t="n">
        <f aca="false">IF(T11&gt;=-0.001,99,-T17/T11)</f>
        <v>99</v>
      </c>
      <c r="U21" s="85" t="n">
        <f aca="false">IF(U11&gt;=-0.001,99,-U17/U11)</f>
        <v>99</v>
      </c>
      <c r="V21" s="85" t="n">
        <f aca="false">IF(V11&gt;=-0.001,99,-V17/V11)</f>
        <v>99</v>
      </c>
      <c r="W21" s="85" t="n">
        <f aca="false">IF(W11&gt;=-0.001,99,-W17/W11)</f>
        <v>99</v>
      </c>
      <c r="X21" s="85" t="n">
        <f aca="false">IF(X11&gt;=-0.001,99,-X17/X11)</f>
        <v>99</v>
      </c>
      <c r="Y21" s="85" t="n">
        <f aca="false">IF(Y11&gt;=-0.001,99,-Y17/Y11)</f>
        <v>99</v>
      </c>
      <c r="Z21" s="85" t="n">
        <f aca="false">IF(Z11&gt;=-0.001,99,-Z17/Z11)</f>
        <v>99</v>
      </c>
      <c r="AA21" s="85" t="n">
        <f aca="false">IF(AA11&gt;=-0.001,99,-AA17/AA11)</f>
        <v>99</v>
      </c>
      <c r="AB21" s="85" t="n">
        <f aca="false">IF(AB11&gt;=-0.001,99,-AB17/AB11)</f>
        <v>99</v>
      </c>
      <c r="AC21" s="85" t="n">
        <f aca="false">IF(AC11&gt;=-0.001,99,-AC17/AC11)</f>
        <v>99</v>
      </c>
      <c r="AD21" s="85" t="n">
        <f aca="false">IF(AD11&gt;=-0.001,99,-AD17/AD11)</f>
        <v>99</v>
      </c>
      <c r="AE21" s="85" t="n">
        <f aca="false">IF(AE11&gt;=-0.001,99,-AE17/AE11)</f>
        <v>99</v>
      </c>
      <c r="AF21" s="85" t="n">
        <f aca="false">IF(AF11&gt;=-0.001,99,-AF17/AF11)</f>
        <v>99</v>
      </c>
      <c r="AG21" s="85" t="n">
        <f aca="false">IF(AG11&gt;=-0.001,99,-AG17/AG11)</f>
        <v>99</v>
      </c>
      <c r="AH21" s="85" t="n">
        <f aca="false">IF(AH11&gt;=-0.001,99,-AH17/AH11)</f>
        <v>99</v>
      </c>
      <c r="AI21" s="85" t="n">
        <f aca="false">IF(AI11&gt;=-0.001,99,-AI17/AI11)</f>
        <v>99</v>
      </c>
      <c r="AJ21" s="85" t="n">
        <f aca="false">IF(AJ11&gt;=-0.001,99,-AJ17/AJ11)</f>
        <v>99</v>
      </c>
      <c r="AK21" s="85" t="n">
        <f aca="false">IF(AK11&gt;=-0.001,99,-AK17/AK11)</f>
        <v>99</v>
      </c>
      <c r="AL21" s="85" t="n">
        <f aca="false">IF(AL11&gt;=-0.001,99,-AL17/AL11)</f>
        <v>99</v>
      </c>
      <c r="AM21" s="85" t="n">
        <f aca="false">IF(AM11&gt;=-0.001,99,-AM17/AM11)</f>
        <v>99</v>
      </c>
      <c r="AN21" s="85" t="n">
        <f aca="false">IF(AN11&gt;=-0.001,99,-AN17/AN11)</f>
        <v>99</v>
      </c>
      <c r="AO21" s="85" t="n">
        <f aca="false">IF(AO11&gt;=-0.001,99,-AO17/AO11)</f>
        <v>99</v>
      </c>
      <c r="AP21" s="85" t="n">
        <f aca="false">IF(AP11&gt;=-0.001,99,-AP17/AP11)</f>
        <v>99</v>
      </c>
      <c r="AQ21" s="85" t="n">
        <f aca="false">IF(AQ11&gt;=-0.001,99,-AQ17/AQ11)</f>
        <v>99</v>
      </c>
      <c r="AR21" s="85" t="n">
        <f aca="false">IF(AR11&gt;=-0.001,99,-AR17/AR11)</f>
        <v>99</v>
      </c>
      <c r="AS21" s="85" t="n">
        <f aca="false">IF(AS11&gt;=-0.001,99,-AS17/AS11)</f>
        <v>99</v>
      </c>
      <c r="AT21" s="85" t="n">
        <f aca="false">IF(AT11&gt;=-0.001,99,-AT17/AT11)</f>
        <v>99</v>
      </c>
      <c r="AU21" s="85" t="n">
        <f aca="false">IF(AU11&gt;=-0.001,99,-AU17/AU11)</f>
        <v>99</v>
      </c>
      <c r="AV21" s="85" t="n">
        <f aca="false">IF(AV11&gt;=-0.001,99,-AV17/AV11)</f>
        <v>99</v>
      </c>
      <c r="AW21" s="85" t="n">
        <f aca="false">IF(AW11&gt;=-0.001,99,-AW17/AW11)</f>
        <v>99</v>
      </c>
      <c r="AX21" s="85" t="n">
        <f aca="false">IF(AX11&gt;=-0.001,99,-AX17/AX11)</f>
        <v>99</v>
      </c>
      <c r="AY21" s="85" t="n">
        <f aca="false">IF(AY11&gt;=-0.001,99,-AY17/AY11)</f>
        <v>99</v>
      </c>
      <c r="AZ21" s="85" t="n">
        <f aca="false">IF(AZ11&gt;=-0.001,99,-AZ17/AZ11)</f>
        <v>99</v>
      </c>
    </row>
    <row r="22" customFormat="false" ht="15" hidden="false" customHeight="true" outlineLevel="0" collapsed="false">
      <c r="A22" s="13" t="s">
        <v>712</v>
      </c>
      <c r="B22" s="2"/>
      <c r="C22" s="2"/>
      <c r="D22" s="50" t="n">
        <f aca="false">IF(2026&lt;2028,0,D13/Returns!$B$19)</f>
        <v>0</v>
      </c>
      <c r="E22" s="50" t="n">
        <f aca="false">IF(2027&lt;2028,0,E13/Returns!$B$19)</f>
        <v>0</v>
      </c>
      <c r="F22" s="50" t="n">
        <f aca="false">IF(2028&lt;2028,0,F13/Returns!$B$19)</f>
        <v>0.486904310856989</v>
      </c>
      <c r="G22" s="50" t="n">
        <f aca="false">IF(2029&lt;2028,0,G13/Returns!$B$19)</f>
        <v>0.530490851102194</v>
      </c>
      <c r="H22" s="50" t="n">
        <f aca="false">IF(2030&lt;2028,0,H13/Returns!$B$19)</f>
        <v>0.482839305132283</v>
      </c>
      <c r="I22" s="50" t="n">
        <f aca="false">IF(2031&lt;2028,0,I13/Returns!$B$19)</f>
        <v>0.418578382198043</v>
      </c>
      <c r="J22" s="50" t="n">
        <f aca="false">IF(2032&lt;2028,0,J13/Returns!$B$19)</f>
        <v>0.34661646629329</v>
      </c>
      <c r="K22" s="50" t="n">
        <f aca="false">IF(2033&lt;2028,0,K13/Returns!$B$19)</f>
        <v>0.266244354314367</v>
      </c>
      <c r="L22" s="50" t="n">
        <f aca="false">IF(2034&lt;2028,0,L13/Returns!$B$19)</f>
        <v>0.180710617087337</v>
      </c>
      <c r="M22" s="50" t="n">
        <f aca="false">IF(2035&lt;2028,0,M13/Returns!$B$19)</f>
        <v>0.11762780518983</v>
      </c>
      <c r="N22" s="50" t="n">
        <f aca="false">IF(2036&lt;2028,0,N13/Returns!$B$19)</f>
        <v>0.0479194611445797</v>
      </c>
      <c r="O22" s="50" t="n">
        <f aca="false">IF(2037&lt;2028,0,O13/Returns!$B$19)</f>
        <v>0</v>
      </c>
      <c r="P22" s="50" t="n">
        <f aca="false">IF(2038&lt;2028,0,P13/Returns!$B$19)</f>
        <v>0</v>
      </c>
      <c r="Q22" s="50" t="n">
        <f aca="false">IF(2039&lt;2028,0,Q13/Returns!$B$19)</f>
        <v>0</v>
      </c>
      <c r="R22" s="50" t="n">
        <f aca="false">IF(2040&lt;2028,0,R13/Returns!$B$19)</f>
        <v>0</v>
      </c>
      <c r="S22" s="50" t="n">
        <f aca="false">IF(2041&lt;2028,0,S13/Returns!$B$19)</f>
        <v>0</v>
      </c>
      <c r="T22" s="50" t="n">
        <f aca="false">IF(2042&lt;2028,0,T13/Returns!$B$19)</f>
        <v>0</v>
      </c>
      <c r="U22" s="50" t="n">
        <f aca="false">IF(2043&lt;2028,0,U13/Returns!$B$19)</f>
        <v>0</v>
      </c>
      <c r="V22" s="50" t="n">
        <f aca="false">IF(2044&lt;2028,0,V13/Returns!$B$19)</f>
        <v>0</v>
      </c>
      <c r="W22" s="50" t="n">
        <f aca="false">IF(2045&lt;2028,0,W13/Returns!$B$19)</f>
        <v>0</v>
      </c>
      <c r="X22" s="50" t="n">
        <f aca="false">IF(2046&lt;2028,0,X13/Returns!$B$19)</f>
        <v>0</v>
      </c>
      <c r="Y22" s="50" t="n">
        <f aca="false">IF(2047&lt;2028,0,Y13/Returns!$B$19)</f>
        <v>0</v>
      </c>
      <c r="Z22" s="50" t="n">
        <f aca="false">IF(2048&lt;2028,0,Z13/Returns!$B$19)</f>
        <v>0</v>
      </c>
      <c r="AA22" s="50" t="n">
        <f aca="false">IF(2049&lt;2028,0,AA13/Returns!$B$19)</f>
        <v>0</v>
      </c>
      <c r="AB22" s="50" t="n">
        <f aca="false">IF(2050&lt;2028,0,AB13/Returns!$B$19)</f>
        <v>0</v>
      </c>
      <c r="AC22" s="50" t="n">
        <f aca="false">IF(2051&lt;2028,0,AC13/Returns!$B$19)</f>
        <v>0</v>
      </c>
      <c r="AD22" s="50" t="n">
        <f aca="false">IF(2052&lt;2028,0,AD13/Returns!$B$19)</f>
        <v>0</v>
      </c>
      <c r="AE22" s="50" t="n">
        <f aca="false">IF(2053&lt;2028,0,AE13/Returns!$B$19)</f>
        <v>0</v>
      </c>
      <c r="AF22" s="50" t="n">
        <f aca="false">IF(2054&lt;2028,0,AF13/Returns!$B$19)</f>
        <v>0</v>
      </c>
      <c r="AG22" s="50" t="n">
        <f aca="false">IF(2055&lt;2028,0,AG13/Returns!$B$19)</f>
        <v>0</v>
      </c>
      <c r="AH22" s="50" t="n">
        <f aca="false">IF(2056&lt;2028,0,AH13/Returns!$B$19)</f>
        <v>0</v>
      </c>
      <c r="AI22" s="50" t="n">
        <f aca="false">IF(2057&lt;2028,0,AI13/Returns!$B$19)</f>
        <v>0</v>
      </c>
      <c r="AJ22" s="50" t="n">
        <f aca="false">IF(2058&lt;2028,0,AJ13/Returns!$B$19)</f>
        <v>0</v>
      </c>
      <c r="AK22" s="50" t="n">
        <f aca="false">IF(2059&lt;2028,0,AK13/Returns!$B$19)</f>
        <v>0</v>
      </c>
      <c r="AL22" s="50" t="n">
        <f aca="false">IF(2060&lt;2028,0,AL13/Returns!$B$19)</f>
        <v>0</v>
      </c>
      <c r="AM22" s="50" t="n">
        <f aca="false">IF(2061&lt;2028,0,AM13/Returns!$B$19)</f>
        <v>0</v>
      </c>
      <c r="AN22" s="50" t="n">
        <f aca="false">IF(2062&lt;2028,0,AN13/Returns!$B$19)</f>
        <v>0</v>
      </c>
      <c r="AO22" s="50" t="n">
        <f aca="false">IF(2063&lt;2028,0,AO13/Returns!$B$19)</f>
        <v>0</v>
      </c>
      <c r="AP22" s="50" t="n">
        <f aca="false">IF(2064&lt;2028,0,AP13/Returns!$B$19)</f>
        <v>0</v>
      </c>
      <c r="AQ22" s="50" t="n">
        <f aca="false">IF(2065&lt;2028,0,AQ13/Returns!$B$19)</f>
        <v>0</v>
      </c>
      <c r="AR22" s="50" t="n">
        <f aca="false">IF(2066&lt;2028,0,AR13/Returns!$B$19)</f>
        <v>0</v>
      </c>
      <c r="AS22" s="50" t="n">
        <f aca="false">IF(2067&lt;2028,0,AS13/Returns!$B$19)</f>
        <v>0</v>
      </c>
      <c r="AT22" s="50" t="n">
        <f aca="false">IF(2068&lt;2028,0,AT13/Returns!$B$19)</f>
        <v>0</v>
      </c>
      <c r="AU22" s="50" t="n">
        <f aca="false">IF(2069&lt;2028,0,AU13/Returns!$B$19)</f>
        <v>0</v>
      </c>
      <c r="AV22" s="50" t="n">
        <f aca="false">IF(2070&lt;2028,0,AV13/Returns!$B$19)</f>
        <v>0</v>
      </c>
      <c r="AW22" s="50" t="n">
        <f aca="false">IF(2071&lt;2028,0,AW13/Returns!$B$19)</f>
        <v>0</v>
      </c>
      <c r="AX22" s="50" t="n">
        <f aca="false">IF(2072&lt;2028,0,AX13/Returns!$B$19)</f>
        <v>0</v>
      </c>
      <c r="AY22" s="50" t="n">
        <f aca="false">IF(2073&lt;2028,0,AY13/Returns!$B$19)</f>
        <v>0</v>
      </c>
      <c r="AZ22" s="50" t="n">
        <f aca="false">IF(2074&lt;2028,0,AZ13/Returns!$B$19)</f>
        <v>0</v>
      </c>
    </row>
    <row r="23" customFormat="false" ht="15" hidden="false" customHeight="true" outlineLevel="0" collapsed="false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customFormat="false" ht="15" hidden="false" customHeight="true" outlineLevel="0" collapsed="false">
      <c r="A24" s="11" t="s">
        <v>610</v>
      </c>
      <c r="B24" s="12"/>
      <c r="C24" s="1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customFormat="false" ht="15" hidden="false" customHeight="true" outlineLevel="0" collapsed="false">
      <c r="A25" s="6" t="s">
        <v>713</v>
      </c>
      <c r="B25" s="2"/>
      <c r="C25" s="86" t="n">
        <f aca="false">MIN(D20:AZ20)</f>
        <v>1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customFormat="false" ht="15" hidden="false" customHeight="true" outlineLevel="0" collapsed="false">
      <c r="A26" s="6" t="s">
        <v>714</v>
      </c>
      <c r="B26" s="2"/>
      <c r="C26" s="86" t="n">
        <f aca="false">SUMIF(D14:AZ14,"&gt;0.001",D18:AZ18)/COUNTIF(D14:AZ14,"&gt;0.001")</f>
        <v>1.07928964016804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customFormat="false" ht="15" hidden="false" customHeight="true" outlineLevel="0" collapsed="false">
      <c r="A27" s="6" t="s">
        <v>715</v>
      </c>
      <c r="B27" s="2"/>
      <c r="C27" s="86" t="n">
        <f aca="false">MIN(D21:AZ21)</f>
        <v>2.3819290298904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customFormat="false" ht="15" hidden="false" customHeight="true" outlineLevel="0" collapsed="false">
      <c r="A28" s="6" t="s">
        <v>716</v>
      </c>
      <c r="B28" s="2"/>
      <c r="C28" s="35" t="n">
        <f aca="false">MAX(D13:AZ13)</f>
        <v>568.416898624248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customFormat="false" ht="15" hidden="false" customHeight="true" outlineLevel="0" collapsed="false">
      <c r="A29" s="6" t="s">
        <v>717</v>
      </c>
      <c r="B29" s="2"/>
      <c r="C29" s="35" t="n">
        <f aca="false">-SUM(D9:AZ9)</f>
        <v>235.65560169332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customFormat="false" ht="15" hidden="false" customHeight="true" outlineLevel="0" collapsed="false">
      <c r="A30" s="6" t="s">
        <v>702</v>
      </c>
      <c r="B30" s="2"/>
      <c r="C30" s="35" t="n">
        <f aca="false">SUM(D10:AZ10)</f>
        <v>69.1277178550537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customFormat="false" ht="15" hidden="false" customHeight="true" outlineLevel="0" collapsed="false">
      <c r="A31" s="6" t="s">
        <v>718</v>
      </c>
      <c r="B31" s="2"/>
      <c r="C31" s="87" t="str">
        <f aca="false">INDEX(D4:AZ4,MATCH(TRUE(),INDEX((D13:AZ13&lt;0.001)*(D8:AZ8&gt;0),0),0))</f>
        <v>2037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"/>
    <col collapsed="false" customWidth="true" hidden="false" outlineLevel="0" max="7" min="2" style="1" width="26"/>
  </cols>
  <sheetData>
    <row r="1" customFormat="false" ht="17.25" hidden="false" customHeight="true" outlineLevel="0" collapsed="false">
      <c r="A1" s="8" t="s">
        <v>719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customFormat="false" ht="15" hidden="false" customHeight="true" outlineLevel="0" collapsed="false">
      <c r="A2" s="10" t="s">
        <v>720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false" ht="15" hidden="false" customHeight="tru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15" hidden="false" customHeight="true" outlineLevel="0" collapsed="false">
      <c r="A4" s="46" t="s">
        <v>721</v>
      </c>
      <c r="B4" s="46" t="s">
        <v>722</v>
      </c>
      <c r="C4" s="46" t="s">
        <v>723</v>
      </c>
      <c r="D4" s="46" t="s">
        <v>724</v>
      </c>
      <c r="E4" s="46" t="s">
        <v>725</v>
      </c>
      <c r="F4" s="46" t="s">
        <v>726</v>
      </c>
      <c r="G4" s="2"/>
      <c r="H4" s="2"/>
      <c r="I4" s="2"/>
      <c r="J4" s="2"/>
      <c r="K4" s="2"/>
    </row>
    <row r="5" customFormat="false" ht="15" hidden="false" customHeight="true" outlineLevel="0" collapsed="false">
      <c r="A5" s="13" t="s">
        <v>727</v>
      </c>
      <c r="B5" s="20" t="n">
        <v>14.9</v>
      </c>
      <c r="C5" s="35" t="n">
        <f aca="false">Capex!C27*0</f>
        <v>0</v>
      </c>
      <c r="D5" s="20" t="n">
        <v>0</v>
      </c>
      <c r="E5" s="35" t="n">
        <f aca="false">-B5-C5+D5</f>
        <v>-14.9</v>
      </c>
      <c r="F5" s="21" t="n">
        <f aca="false">E5</f>
        <v>-14.9</v>
      </c>
      <c r="G5" s="2"/>
      <c r="H5" s="2"/>
      <c r="I5" s="2"/>
      <c r="J5" s="2"/>
      <c r="K5" s="2"/>
    </row>
    <row r="6" customFormat="false" ht="15" hidden="false" customHeight="true" outlineLevel="0" collapsed="false">
      <c r="A6" s="13" t="s">
        <v>728</v>
      </c>
      <c r="B6" s="20" t="n">
        <v>38.4</v>
      </c>
      <c r="C6" s="35" t="n">
        <f aca="false">Capex!C27*0</f>
        <v>0</v>
      </c>
      <c r="D6" s="20" t="n">
        <v>0</v>
      </c>
      <c r="E6" s="35" t="n">
        <f aca="false">-B6-C6+D6</f>
        <v>-38.4</v>
      </c>
      <c r="F6" s="21" t="n">
        <f aca="false">F5+E6</f>
        <v>-53.3</v>
      </c>
      <c r="G6" s="2"/>
      <c r="H6" s="2"/>
      <c r="I6" s="2"/>
      <c r="J6" s="2"/>
      <c r="K6" s="2"/>
    </row>
    <row r="7" customFormat="false" ht="15" hidden="false" customHeight="true" outlineLevel="0" collapsed="false">
      <c r="A7" s="13" t="s">
        <v>729</v>
      </c>
      <c r="B7" s="20" t="n">
        <v>49</v>
      </c>
      <c r="C7" s="35" t="n">
        <f aca="false">Capex!C27*0.034</f>
        <v>1.80302</v>
      </c>
      <c r="D7" s="20" t="n">
        <v>0</v>
      </c>
      <c r="E7" s="35" t="n">
        <f aca="false">-B7-C7+D7</f>
        <v>-50.80302</v>
      </c>
      <c r="F7" s="21" t="n">
        <f aca="false">F6+E7</f>
        <v>-104.10302</v>
      </c>
      <c r="G7" s="2"/>
      <c r="H7" s="2"/>
      <c r="I7" s="2"/>
      <c r="J7" s="2"/>
      <c r="K7" s="2"/>
    </row>
    <row r="8" customFormat="false" ht="15" hidden="false" customHeight="true" outlineLevel="0" collapsed="false">
      <c r="A8" s="13" t="s">
        <v>730</v>
      </c>
      <c r="B8" s="20" t="n">
        <v>61.1</v>
      </c>
      <c r="C8" s="35" t="n">
        <f aca="false">Capex!C27*0.034</f>
        <v>1.80302</v>
      </c>
      <c r="D8" s="20" t="n">
        <v>0</v>
      </c>
      <c r="E8" s="35" t="n">
        <f aca="false">-B8-C8+D8</f>
        <v>-62.90302</v>
      </c>
      <c r="F8" s="21" t="n">
        <f aca="false">F7+E8</f>
        <v>-167.00604</v>
      </c>
      <c r="G8" s="2"/>
      <c r="H8" s="2"/>
      <c r="I8" s="2"/>
      <c r="J8" s="2"/>
      <c r="K8" s="2"/>
    </row>
    <row r="9" customFormat="false" ht="15" hidden="false" customHeight="true" outlineLevel="0" collapsed="false">
      <c r="A9" s="13" t="s">
        <v>731</v>
      </c>
      <c r="B9" s="20" t="n">
        <v>83</v>
      </c>
      <c r="C9" s="35" t="n">
        <f aca="false">Capex!C27*0.034</f>
        <v>1.80302</v>
      </c>
      <c r="D9" s="20" t="n">
        <v>0</v>
      </c>
      <c r="E9" s="35" t="n">
        <f aca="false">-B9-C9+D9</f>
        <v>-84.80302</v>
      </c>
      <c r="F9" s="21" t="n">
        <f aca="false">F8+E9</f>
        <v>-251.80906</v>
      </c>
      <c r="G9" s="2"/>
      <c r="H9" s="2"/>
      <c r="I9" s="2"/>
      <c r="J9" s="2"/>
      <c r="K9" s="2"/>
    </row>
    <row r="10" customFormat="false" ht="15" hidden="false" customHeight="true" outlineLevel="0" collapsed="false">
      <c r="A10" s="13" t="s">
        <v>732</v>
      </c>
      <c r="B10" s="20" t="n">
        <v>91.2</v>
      </c>
      <c r="C10" s="35" t="n">
        <f aca="false">Capex!C27*0.034</f>
        <v>1.80302</v>
      </c>
      <c r="D10" s="20" t="n">
        <v>0</v>
      </c>
      <c r="E10" s="35" t="n">
        <f aca="false">-B10-C10+D10</f>
        <v>-93.00302</v>
      </c>
      <c r="F10" s="21" t="n">
        <f aca="false">F9+E10</f>
        <v>-344.81208</v>
      </c>
      <c r="G10" s="2"/>
      <c r="H10" s="2"/>
      <c r="I10" s="2"/>
      <c r="J10" s="2"/>
      <c r="K10" s="2"/>
    </row>
    <row r="11" customFormat="false" ht="15" hidden="false" customHeight="true" outlineLevel="0" collapsed="false">
      <c r="A11" s="13" t="s">
        <v>733</v>
      </c>
      <c r="B11" s="20" t="n">
        <v>98.9</v>
      </c>
      <c r="C11" s="35" t="n">
        <f aca="false">Capex!C27*0</f>
        <v>0</v>
      </c>
      <c r="D11" s="20" t="n">
        <v>0</v>
      </c>
      <c r="E11" s="35" t="n">
        <f aca="false">-B11-C11+D11</f>
        <v>-98.9</v>
      </c>
      <c r="F11" s="21" t="n">
        <f aca="false">F10+E11</f>
        <v>-443.71208</v>
      </c>
      <c r="G11" s="2"/>
      <c r="H11" s="2"/>
      <c r="I11" s="2"/>
      <c r="J11" s="2"/>
      <c r="K11" s="2"/>
    </row>
    <row r="12" customFormat="false" ht="15" hidden="false" customHeight="true" outlineLevel="0" collapsed="false">
      <c r="A12" s="13" t="s">
        <v>734</v>
      </c>
      <c r="B12" s="20" t="n">
        <v>87.7</v>
      </c>
      <c r="C12" s="35" t="n">
        <f aca="false">Capex!C27*0.25</f>
        <v>13.2575</v>
      </c>
      <c r="D12" s="20" t="n">
        <v>-0.6</v>
      </c>
      <c r="E12" s="35" t="n">
        <f aca="false">-B12-C12+D12</f>
        <v>-101.5575</v>
      </c>
      <c r="F12" s="21" t="n">
        <f aca="false">F11+E12</f>
        <v>-545.26958</v>
      </c>
      <c r="G12" s="2"/>
      <c r="H12" s="2"/>
      <c r="I12" s="2"/>
      <c r="J12" s="2"/>
      <c r="K12" s="2"/>
    </row>
    <row r="13" customFormat="false" ht="15" hidden="false" customHeight="true" outlineLevel="0" collapsed="false">
      <c r="A13" s="13" t="s">
        <v>735</v>
      </c>
      <c r="B13" s="20" t="n">
        <v>24.9</v>
      </c>
      <c r="C13" s="35" t="n">
        <f aca="false">Capex!C27*0.35</f>
        <v>18.5605</v>
      </c>
      <c r="D13" s="20" t="n">
        <v>-3.5</v>
      </c>
      <c r="E13" s="35" t="n">
        <f aca="false">-B13-C13+D13</f>
        <v>-46.9605</v>
      </c>
      <c r="F13" s="21" t="n">
        <f aca="false">F12+E13</f>
        <v>-592.23008</v>
      </c>
      <c r="G13" s="2"/>
      <c r="H13" s="2"/>
      <c r="I13" s="2"/>
      <c r="J13" s="2"/>
      <c r="K13" s="2"/>
    </row>
    <row r="14" customFormat="false" ht="15" hidden="false" customHeight="true" outlineLevel="0" collapsed="false">
      <c r="A14" s="13" t="s">
        <v>736</v>
      </c>
      <c r="B14" s="20" t="n">
        <v>1</v>
      </c>
      <c r="C14" s="35" t="n">
        <f aca="false">Capex!C27*0.264</f>
        <v>13.99992</v>
      </c>
      <c r="D14" s="20" t="n">
        <v>8.7</v>
      </c>
      <c r="E14" s="35" t="n">
        <f aca="false">-B14-C14+D14</f>
        <v>-6.29992</v>
      </c>
      <c r="F14" s="21" t="n">
        <f aca="false">F13+E14</f>
        <v>-598.53</v>
      </c>
      <c r="G14" s="2"/>
      <c r="H14" s="2"/>
      <c r="I14" s="2"/>
      <c r="J14" s="2"/>
      <c r="K14" s="2"/>
    </row>
    <row r="15" customFormat="false" ht="15" hidden="false" customHeight="true" outlineLevel="0" collapsed="false">
      <c r="A15" s="13" t="s">
        <v>737</v>
      </c>
      <c r="B15" s="20" t="n">
        <v>0</v>
      </c>
      <c r="C15" s="35" t="n">
        <f aca="false">Capex!C27*0.125</f>
        <v>6.62875</v>
      </c>
      <c r="D15" s="20" t="n">
        <v>8.3</v>
      </c>
      <c r="E15" s="35" t="n">
        <f aca="false">-B15-C15+D15</f>
        <v>1.67125</v>
      </c>
      <c r="F15" s="21" t="n">
        <f aca="false">F14+E15</f>
        <v>-596.85875</v>
      </c>
      <c r="G15" s="2"/>
      <c r="H15" s="2"/>
      <c r="I15" s="2"/>
      <c r="J15" s="2"/>
      <c r="K15" s="2"/>
    </row>
    <row r="16" customFormat="false" ht="15" hidden="false" customHeight="true" outlineLevel="0" collapsed="false">
      <c r="A16" s="13" t="s">
        <v>738</v>
      </c>
      <c r="B16" s="20" t="n">
        <v>0</v>
      </c>
      <c r="C16" s="35" t="n">
        <f aca="false">Capex!C27*0.125</f>
        <v>6.62875</v>
      </c>
      <c r="D16" s="20" t="n">
        <v>8.3</v>
      </c>
      <c r="E16" s="35" t="n">
        <f aca="false">-B16-C16+D16</f>
        <v>1.67125</v>
      </c>
      <c r="F16" s="21" t="n">
        <f aca="false">F15+E16</f>
        <v>-595.1875</v>
      </c>
      <c r="G16" s="2"/>
      <c r="H16" s="2"/>
      <c r="I16" s="2"/>
      <c r="J16" s="2"/>
      <c r="K16" s="2"/>
    </row>
    <row r="17" customFormat="false" ht="15" hidden="false" customHeight="true" outlineLevel="0" collapsed="false">
      <c r="A17" s="13" t="s">
        <v>739</v>
      </c>
      <c r="B17" s="20" t="n">
        <v>0</v>
      </c>
      <c r="C17" s="35" t="n">
        <f aca="false">Capex!C27*0.125</f>
        <v>6.62875</v>
      </c>
      <c r="D17" s="20" t="n">
        <v>16.1</v>
      </c>
      <c r="E17" s="35" t="n">
        <f aca="false">-B17-C17+D17</f>
        <v>9.47125</v>
      </c>
      <c r="F17" s="21" t="n">
        <f aca="false">F16+E17</f>
        <v>-585.71625</v>
      </c>
      <c r="G17" s="2"/>
      <c r="H17" s="2"/>
      <c r="I17" s="2"/>
      <c r="J17" s="2"/>
      <c r="K17" s="2"/>
    </row>
    <row r="18" customFormat="false" ht="15" hidden="false" customHeight="true" outlineLevel="0" collapsed="false">
      <c r="A18" s="13" t="s">
        <v>740</v>
      </c>
      <c r="B18" s="20" t="n">
        <v>0</v>
      </c>
      <c r="C18" s="35" t="n">
        <f aca="false">Capex!C27*0.125</f>
        <v>6.62875</v>
      </c>
      <c r="D18" s="20" t="n">
        <v>16.1</v>
      </c>
      <c r="E18" s="35" t="n">
        <f aca="false">-B18-C18+D18</f>
        <v>9.47125</v>
      </c>
      <c r="F18" s="21" t="n">
        <f aca="false">F17+E18</f>
        <v>-576.245</v>
      </c>
      <c r="G18" s="2"/>
      <c r="H18" s="2"/>
      <c r="I18" s="2"/>
      <c r="J18" s="2"/>
      <c r="K18" s="2"/>
    </row>
    <row r="19" customFormat="false" ht="15" hidden="false" customHeight="true" outlineLevel="0" collapsed="false">
      <c r="A19" s="6" t="s">
        <v>338</v>
      </c>
      <c r="B19" s="44" t="n">
        <f aca="false">SUM(B5:B18)</f>
        <v>550.1</v>
      </c>
      <c r="C19" s="44" t="n">
        <f aca="false">SUM(C5:C18)</f>
        <v>79.545</v>
      </c>
      <c r="D19" s="44" t="n">
        <f aca="false">SUM(D5:D18)</f>
        <v>53.4</v>
      </c>
      <c r="E19" s="44" t="n">
        <f aca="false">SUM(E5:E18)</f>
        <v>-576.245</v>
      </c>
      <c r="F19" s="2"/>
      <c r="G19" s="2"/>
      <c r="H19" s="2"/>
      <c r="I19" s="2"/>
      <c r="J19" s="2"/>
      <c r="K19" s="2"/>
    </row>
    <row r="20" customFormat="false" ht="15" hidden="false" customHeight="true" outlineLevel="0" collapsed="false">
      <c r="A20" s="6" t="s">
        <v>741</v>
      </c>
      <c r="B20" s="2"/>
      <c r="C20" s="2"/>
      <c r="D20" s="2"/>
      <c r="E20" s="2"/>
      <c r="F20" s="35" t="n">
        <f aca="false">-MIN(F5:F18)</f>
        <v>598.53</v>
      </c>
      <c r="G20" s="2"/>
      <c r="H20" s="2"/>
      <c r="I20" s="2"/>
      <c r="J20" s="2"/>
      <c r="K20" s="2"/>
    </row>
    <row r="21" customFormat="false" ht="15" hidden="false" customHeight="true" outlineLevel="0" collapsed="false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customFormat="false" ht="15" hidden="false" customHeight="true" outlineLevel="0" collapsed="false">
      <c r="A22" s="15" t="s">
        <v>742</v>
      </c>
      <c r="B22" s="2"/>
      <c r="C22" s="2"/>
      <c r="D22" s="2"/>
      <c r="E22" s="2"/>
      <c r="F22" s="2"/>
      <c r="G22" s="2"/>
      <c r="H22" s="2"/>
      <c r="I22" s="2"/>
      <c r="J22" s="2"/>
      <c r="K22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4"/>
    <col collapsed="false" customWidth="true" hidden="false" outlineLevel="0" max="11" min="2" style="1" width="15"/>
  </cols>
  <sheetData>
    <row r="1" customFormat="false" ht="17.25" hidden="false" customHeight="true" outlineLevel="0" collapsed="false">
      <c r="A1" s="8" t="s">
        <v>743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customFormat="false" ht="15" hidden="false" customHeight="true" outlineLevel="0" collapsed="false">
      <c r="A2" s="10" t="s">
        <v>744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customFormat="false" ht="42" hidden="false" customHeight="true" outlineLevel="0" collapsed="false">
      <c r="A4" s="88" t="s">
        <v>745</v>
      </c>
      <c r="B4" s="89" t="s">
        <v>746</v>
      </c>
      <c r="C4" s="89" t="s">
        <v>747</v>
      </c>
      <c r="D4" s="89" t="s">
        <v>748</v>
      </c>
      <c r="E4" s="89" t="s">
        <v>749</v>
      </c>
      <c r="F4" s="89" t="s">
        <v>750</v>
      </c>
      <c r="G4" s="89" t="s">
        <v>751</v>
      </c>
      <c r="H4" s="89" t="s">
        <v>752</v>
      </c>
      <c r="I4" s="89" t="s">
        <v>753</v>
      </c>
      <c r="J4" s="89" t="s">
        <v>754</v>
      </c>
      <c r="K4" s="89" t="s">
        <v>755</v>
      </c>
      <c r="L4" s="89" t="s">
        <v>756</v>
      </c>
    </row>
    <row r="5" customFormat="false" ht="15" hidden="false" customHeight="false" outlineLevel="0" collapsed="false">
      <c r="A5" s="88" t="s">
        <v>757</v>
      </c>
      <c r="B5" s="90" t="n">
        <v>499.289180769194</v>
      </c>
      <c r="C5" s="90" t="n">
        <v>108.502480999354</v>
      </c>
      <c r="D5" s="91" t="n">
        <v>0.197241376112259</v>
      </c>
      <c r="E5" s="91" t="n">
        <v>0.193390867560672</v>
      </c>
      <c r="F5" s="91" t="n">
        <v>0.212316225568526</v>
      </c>
      <c r="G5" s="92" t="s">
        <v>344</v>
      </c>
      <c r="H5" s="92" t="s">
        <v>344</v>
      </c>
      <c r="I5" s="91" t="n">
        <v>0.172688828506123</v>
      </c>
      <c r="J5" s="90" t="n">
        <v>568.416898624248</v>
      </c>
      <c r="K5" s="92" t="s">
        <v>347</v>
      </c>
      <c r="L5" s="93" t="n">
        <v>2.3819290298904</v>
      </c>
    </row>
    <row r="6" customFormat="false" ht="15" hidden="false" customHeight="false" outlineLevel="0" collapsed="false">
      <c r="A6" s="94" t="s">
        <v>758</v>
      </c>
      <c r="B6" s="95" t="n">
        <v>548.949235269194</v>
      </c>
      <c r="C6" s="95" t="n">
        <v>108.502480999354</v>
      </c>
      <c r="D6" s="96" t="n">
        <v>0.180895656435077</v>
      </c>
      <c r="E6" s="96" t="n">
        <v>0.181459455588262</v>
      </c>
      <c r="F6" s="96" t="n">
        <v>0.198302255500239</v>
      </c>
      <c r="G6" s="97" t="s">
        <v>345</v>
      </c>
      <c r="H6" s="97" t="s">
        <v>345</v>
      </c>
      <c r="I6" s="96" t="n">
        <v>0.160678906973465</v>
      </c>
      <c r="J6" s="95" t="n">
        <v>624.547934863266</v>
      </c>
      <c r="K6" s="97" t="s">
        <v>348</v>
      </c>
      <c r="L6" s="98" t="n">
        <v>2.16901037495462</v>
      </c>
    </row>
    <row r="7" customFormat="false" ht="15" hidden="false" customHeight="false" outlineLevel="0" collapsed="false">
      <c r="A7" s="94" t="s">
        <v>759</v>
      </c>
      <c r="B7" s="95" t="n">
        <v>502.156583091478</v>
      </c>
      <c r="C7" s="95" t="n">
        <v>100.917468103654</v>
      </c>
      <c r="D7" s="96" t="n">
        <v>0.183452950561087</v>
      </c>
      <c r="E7" s="96" t="n">
        <v>0.184579778473896</v>
      </c>
      <c r="F7" s="96" t="n">
        <v>0.202027989519051</v>
      </c>
      <c r="G7" s="97" t="s">
        <v>345</v>
      </c>
      <c r="H7" s="97" t="s">
        <v>345</v>
      </c>
      <c r="I7" s="96" t="n">
        <v>0.16371968373024</v>
      </c>
      <c r="J7" s="95" t="n">
        <v>571.377491522006</v>
      </c>
      <c r="K7" s="97" t="s">
        <v>348</v>
      </c>
      <c r="L7" s="98" t="n">
        <v>2.19440057863727</v>
      </c>
    </row>
    <row r="8" customFormat="false" ht="15" hidden="false" customHeight="false" outlineLevel="0" collapsed="false">
      <c r="A8" s="94" t="s">
        <v>760</v>
      </c>
      <c r="B8" s="95" t="n">
        <v>506.457686574905</v>
      </c>
      <c r="C8" s="95" t="n">
        <v>89.5399487601037</v>
      </c>
      <c r="D8" s="96" t="n">
        <v>0.162770312234328</v>
      </c>
      <c r="E8" s="96" t="n">
        <v>0.171214042497028</v>
      </c>
      <c r="F8" s="96" t="n">
        <v>0.185908460727328</v>
      </c>
      <c r="G8" s="97" t="s">
        <v>345</v>
      </c>
      <c r="H8" s="97" t="s">
        <v>345</v>
      </c>
      <c r="I8" s="96" t="n">
        <v>0.149540333776127</v>
      </c>
      <c r="J8" s="95" t="n">
        <v>575.818380868644</v>
      </c>
      <c r="K8" s="97" t="s">
        <v>349</v>
      </c>
      <c r="L8" s="98" t="n">
        <v>1.91672359521679</v>
      </c>
    </row>
    <row r="9" customFormat="false" ht="15" hidden="false" customHeight="false" outlineLevel="0" collapsed="false">
      <c r="A9" s="94" t="s">
        <v>761</v>
      </c>
      <c r="B9" s="95" t="n">
        <v>509.946128144194</v>
      </c>
      <c r="C9" s="95" t="n">
        <v>97.8386059993539</v>
      </c>
      <c r="D9" s="96" t="n">
        <v>0.177856037082992</v>
      </c>
      <c r="E9" s="96" t="n">
        <v>0.177024027976917</v>
      </c>
      <c r="F9" s="96" t="n">
        <v>0.192823595480206</v>
      </c>
      <c r="G9" s="97" t="s">
        <v>345</v>
      </c>
      <c r="H9" s="97" t="s">
        <v>345</v>
      </c>
      <c r="I9" s="96" t="n">
        <v>0.155535278718771</v>
      </c>
      <c r="J9" s="95" t="n">
        <v>579.566659082185</v>
      </c>
      <c r="K9" s="97" t="s">
        <v>348</v>
      </c>
      <c r="L9" s="98" t="n">
        <v>2.0953520063361</v>
      </c>
    </row>
    <row r="10" customFormat="false" ht="15" hidden="false" customHeight="false" outlineLevel="0" collapsed="false">
      <c r="A10" s="94" t="s">
        <v>762</v>
      </c>
      <c r="B10" s="95" t="n">
        <v>520.064491169194</v>
      </c>
      <c r="C10" s="95" t="n">
        <v>87.8654909993539</v>
      </c>
      <c r="D10" s="96" t="n">
        <v>0.159726397017549</v>
      </c>
      <c r="E10" s="96" t="n">
        <v>0.159600152955808</v>
      </c>
      <c r="F10" s="96" t="n">
        <v>0.17103938963208</v>
      </c>
      <c r="G10" s="97" t="s">
        <v>345</v>
      </c>
      <c r="H10" s="97" t="s">
        <v>346</v>
      </c>
      <c r="I10" s="96" t="n">
        <v>0.136400486172384</v>
      </c>
      <c r="J10" s="95" t="n">
        <v>590.175285759676</v>
      </c>
      <c r="K10" s="97" t="s">
        <v>350</v>
      </c>
      <c r="L10" s="98" t="n">
        <v>1.83078808615742</v>
      </c>
    </row>
    <row r="11" customFormat="false" ht="15" hidden="false" customHeight="false" outlineLevel="0" collapsed="false">
      <c r="A11" s="94" t="s">
        <v>763</v>
      </c>
      <c r="B11" s="95" t="n">
        <v>505.728585052163</v>
      </c>
      <c r="C11" s="95" t="n">
        <v>100.153659258335</v>
      </c>
      <c r="D11" s="96" t="n">
        <v>0.182064459658853</v>
      </c>
      <c r="E11" s="96" t="n">
        <v>0.182615090503237</v>
      </c>
      <c r="F11" s="96" t="n">
        <v>0.199816905239826</v>
      </c>
      <c r="G11" s="97" t="s">
        <v>345</v>
      </c>
      <c r="H11" s="97" t="s">
        <v>345</v>
      </c>
      <c r="I11" s="96" t="n">
        <v>0.161760616586833</v>
      </c>
      <c r="J11" s="95" t="n">
        <v>575.153780387217</v>
      </c>
      <c r="K11" s="97" t="s">
        <v>348</v>
      </c>
      <c r="L11" s="98" t="n">
        <v>2.17516710665498</v>
      </c>
    </row>
    <row r="12" customFormat="false" ht="15" hidden="false" customHeight="false" outlineLevel="0" collapsed="false">
      <c r="A12" s="94" t="s">
        <v>764</v>
      </c>
      <c r="B12" s="95" t="n">
        <v>519.26801336877</v>
      </c>
      <c r="C12" s="95" t="n">
        <v>81.2546057822957</v>
      </c>
      <c r="D12" s="96" t="n">
        <v>0.147708790733132</v>
      </c>
      <c r="E12" s="96" t="n">
        <v>0.156520084045166</v>
      </c>
      <c r="F12" s="96" t="n">
        <v>0.167575917927728</v>
      </c>
      <c r="G12" s="97" t="s">
        <v>346</v>
      </c>
      <c r="H12" s="97" t="s">
        <v>346</v>
      </c>
      <c r="I12" s="96" t="n">
        <v>0.1333891376095</v>
      </c>
      <c r="J12" s="95" t="n">
        <v>589.279808905649</v>
      </c>
      <c r="K12" s="97" t="s">
        <v>350</v>
      </c>
      <c r="L12" s="98" t="n">
        <v>1.70554102272778</v>
      </c>
    </row>
    <row r="13" customFormat="false" ht="15" hidden="false" customHeight="false" outlineLevel="0" collapsed="false">
      <c r="A13" s="94" t="s">
        <v>765</v>
      </c>
      <c r="B13" s="95" t="n">
        <v>559.323021554531</v>
      </c>
      <c r="C13" s="95" t="n">
        <v>105.395863616541</v>
      </c>
      <c r="D13" s="96" t="n">
        <v>0.191594007665045</v>
      </c>
      <c r="E13" s="96" t="n">
        <v>0.172402431947542</v>
      </c>
      <c r="F13" s="96" t="n">
        <v>0.188604798602759</v>
      </c>
      <c r="G13" s="97" t="s">
        <v>345</v>
      </c>
      <c r="H13" s="97" t="s">
        <v>345</v>
      </c>
      <c r="I13" s="96" t="n">
        <v>0.152076480181554</v>
      </c>
      <c r="J13" s="95" t="n">
        <v>630.737988764486</v>
      </c>
      <c r="K13" s="97" t="s">
        <v>349</v>
      </c>
      <c r="L13" s="98" t="n">
        <v>1.4113171706464</v>
      </c>
    </row>
    <row r="14" customFormat="false" ht="15" hidden="false" customHeight="false" outlineLevel="0" collapsed="false">
      <c r="A14" s="94" t="s">
        <v>766</v>
      </c>
      <c r="B14" s="95" t="n">
        <v>611.653589693912</v>
      </c>
      <c r="C14" s="95" t="n">
        <v>85.5106072037477</v>
      </c>
      <c r="D14" s="96" t="n">
        <v>0.142563536610523</v>
      </c>
      <c r="E14" s="96" t="n">
        <v>0.141714213449681</v>
      </c>
      <c r="F14" s="96" t="n">
        <v>0.149053218581393</v>
      </c>
      <c r="G14" s="97" t="s">
        <v>347</v>
      </c>
      <c r="H14" s="97" t="s">
        <v>347</v>
      </c>
      <c r="I14" s="96" t="n">
        <v>0.117403078602411</v>
      </c>
      <c r="J14" s="95" t="n">
        <v>689.626330336165</v>
      </c>
      <c r="K14" s="97" t="s">
        <v>353</v>
      </c>
      <c r="L14" s="98" t="n">
        <v>1.01504244983885</v>
      </c>
    </row>
    <row r="15" customFormat="false" ht="15" hidden="false" customHeight="false" outlineLevel="0" collapsed="false">
      <c r="A15" s="94" t="s">
        <v>767</v>
      </c>
      <c r="B15" s="95" t="n">
        <v>331.699045936611</v>
      </c>
      <c r="C15" s="95" t="n">
        <v>70.5774165208534</v>
      </c>
      <c r="D15" s="96" t="n">
        <v>0.210785439489712</v>
      </c>
      <c r="E15" s="96" t="n">
        <v>0.203731272809428</v>
      </c>
      <c r="F15" s="96" t="n">
        <v>0.223752858416489</v>
      </c>
      <c r="G15" s="97" t="s">
        <v>344</v>
      </c>
      <c r="H15" s="97" t="s">
        <v>344</v>
      </c>
      <c r="I15" s="96" t="n">
        <v>0.181438979659154</v>
      </c>
      <c r="J15" s="95" t="n">
        <v>382.101277234802</v>
      </c>
      <c r="K15" s="97" t="s">
        <v>347</v>
      </c>
      <c r="L15" s="98" t="n">
        <v>2.22593012881418</v>
      </c>
    </row>
    <row r="16" customFormat="false" ht="15" hidden="false" customHeight="false" outlineLevel="0" collapsed="false">
      <c r="A16" s="94" t="s">
        <v>768</v>
      </c>
      <c r="B16" s="95" t="n">
        <v>499.289180769194</v>
      </c>
      <c r="C16" s="95" t="n">
        <v>108.502480999354</v>
      </c>
      <c r="D16" s="96" t="n">
        <v>0.197241376112259</v>
      </c>
      <c r="E16" s="96" t="n">
        <v>0.193390867560672</v>
      </c>
      <c r="F16" s="96" t="n">
        <v>0.216324170529111</v>
      </c>
      <c r="G16" s="97" t="s">
        <v>344</v>
      </c>
      <c r="H16" s="97" t="s">
        <v>344</v>
      </c>
      <c r="I16" s="96" t="n">
        <v>0.176483130185186</v>
      </c>
      <c r="J16" s="95" t="n">
        <v>568.416898624248</v>
      </c>
      <c r="K16" s="97" t="s">
        <v>347</v>
      </c>
      <c r="L16" s="98" t="n">
        <v>2.3819290298904</v>
      </c>
    </row>
    <row r="17" customFormat="false" ht="15" hidden="false" customHeight="false" outlineLevel="0" collapsed="false">
      <c r="A17" s="94" t="s">
        <v>769</v>
      </c>
      <c r="B17" s="95" t="n">
        <v>499.289180769194</v>
      </c>
      <c r="C17" s="95" t="n">
        <v>108.502480999354</v>
      </c>
      <c r="D17" s="96" t="n">
        <v>0.197241376112259</v>
      </c>
      <c r="E17" s="96" t="n">
        <v>0.193390867560672</v>
      </c>
      <c r="F17" s="96" t="n">
        <v>0.208723298386465</v>
      </c>
      <c r="G17" s="97" t="s">
        <v>344</v>
      </c>
      <c r="H17" s="97" t="s">
        <v>344</v>
      </c>
      <c r="I17" s="96" t="n">
        <v>0.169288381146522</v>
      </c>
      <c r="J17" s="95" t="n">
        <v>568.416898624248</v>
      </c>
      <c r="K17" s="97" t="s">
        <v>347</v>
      </c>
      <c r="L17" s="98" t="n">
        <v>2.3819290298904</v>
      </c>
    </row>
    <row r="19" customFormat="false" ht="15" hidden="false" customHeight="false" outlineLevel="0" collapsed="false">
      <c r="A19" s="99" t="s">
        <v>770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2026-10-22T07:31:49Z</dcterms:created>
  <dc:creator>openpyxl</dc:creator>
  <dc:description/>
  <dc:language>en-US</dc:language>
  <cp:lastModifiedBy/>
  <dcterms:modified xsi:type="dcterms:W3CDTF">2026-10-22T07:32:42Z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